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0241442-2836-4EAC-9994-4CBFCFE0F205}" xr6:coauthVersionLast="36" xr6:coauthVersionMax="36" xr10:uidLastSave="{00000000-0000-0000-0000-000000000000}"/>
  <bookViews>
    <workbookView xWindow="0" yWindow="0" windowWidth="21570" windowHeight="1135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8" l="1"/>
  <c r="D48" i="8"/>
  <c r="B49" i="8"/>
  <c r="B48" i="8"/>
  <c r="B81" i="8"/>
  <c r="J114" i="8"/>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D35" i="11" l="1"/>
  <c r="R35" i="11"/>
  <c r="K35" i="11"/>
  <c r="J35" i="11"/>
  <c r="I35" i="11"/>
  <c r="G35" i="11"/>
  <c r="D35" i="11"/>
  <c r="B78" i="12"/>
  <c r="B77" i="12"/>
  <c r="B76" i="12"/>
  <c r="M30" i="10"/>
  <c r="M24" i="10"/>
  <c r="AD33" i="11"/>
  <c r="AD29" i="11"/>
  <c r="AD37" i="11" s="1"/>
  <c r="AB29" i="11"/>
  <c r="R29" i="11"/>
  <c r="K29" i="11"/>
  <c r="K33" i="11" s="1"/>
  <c r="J29" i="11"/>
  <c r="J33" i="11" s="1"/>
  <c r="I29" i="11"/>
  <c r="I33" i="11" s="1"/>
  <c r="G29" i="11"/>
  <c r="G33" i="11" s="1"/>
  <c r="D29" i="11"/>
  <c r="D33" i="11" s="1"/>
  <c r="B51" i="12"/>
  <c r="B34" i="12"/>
  <c r="B105" i="12" l="1"/>
  <c r="B91" i="12"/>
  <c r="B89" i="12"/>
  <c r="B66" i="12"/>
  <c r="B49" i="12"/>
  <c r="B32" i="12"/>
  <c r="B22" i="12"/>
  <c r="A15" i="12"/>
  <c r="B21" i="12" s="1"/>
  <c r="A12" i="12"/>
  <c r="A5" i="12"/>
  <c r="AD26" i="11"/>
  <c r="B29" i="12" s="1"/>
  <c r="AB26" i="11"/>
  <c r="R26" i="11"/>
  <c r="I26" i="11"/>
  <c r="G26" i="11"/>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9" i="12" s="1"/>
  <c r="A5" i="11"/>
  <c r="AC64" i="10"/>
  <c r="AB64" i="10"/>
  <c r="E64" i="10"/>
  <c r="F64" i="10" s="1"/>
  <c r="AC63" i="10"/>
  <c r="AB63" i="10"/>
  <c r="E63" i="10"/>
  <c r="F63" i="10" s="1"/>
  <c r="AC62" i="10"/>
  <c r="AB62" i="10"/>
  <c r="E62" i="10"/>
  <c r="F62" i="10" s="1"/>
  <c r="AC61" i="10"/>
  <c r="AB61" i="10"/>
  <c r="E61" i="10"/>
  <c r="F61" i="10" s="1"/>
  <c r="AC60" i="10"/>
  <c r="AB60" i="10"/>
  <c r="F60" i="10"/>
  <c r="E60" i="10"/>
  <c r="AC59" i="10"/>
  <c r="AB59" i="10"/>
  <c r="E59" i="10"/>
  <c r="F59" i="10" s="1"/>
  <c r="AC58" i="10"/>
  <c r="AB58" i="10"/>
  <c r="F58" i="10"/>
  <c r="E58" i="10"/>
  <c r="AC57" i="10"/>
  <c r="AB57" i="10"/>
  <c r="C57" i="10"/>
  <c r="E57" i="10" s="1"/>
  <c r="F57" i="10" s="1"/>
  <c r="AC56" i="10"/>
  <c r="AB56" i="10"/>
  <c r="E56" i="10"/>
  <c r="F56" i="10" s="1"/>
  <c r="C56" i="10"/>
  <c r="AC55" i="10"/>
  <c r="AB55" i="10"/>
  <c r="E55" i="10"/>
  <c r="F55" i="10" s="1"/>
  <c r="AC54" i="10"/>
  <c r="AB54" i="10"/>
  <c r="AC53" i="10"/>
  <c r="AB53" i="10"/>
  <c r="E53" i="10"/>
  <c r="F53" i="10" s="1"/>
  <c r="AC52" i="10"/>
  <c r="AB52" i="10"/>
  <c r="C52" i="10"/>
  <c r="E52" i="10" s="1"/>
  <c r="F52" i="10" s="1"/>
  <c r="AC51" i="10"/>
  <c r="AB51" i="10"/>
  <c r="F51" i="10"/>
  <c r="E51" i="10"/>
  <c r="AC50" i="10"/>
  <c r="AB50" i="10"/>
  <c r="E50" i="10"/>
  <c r="F50" i="10" s="1"/>
  <c r="C50" i="10"/>
  <c r="AC49" i="10"/>
  <c r="AB49" i="10"/>
  <c r="C49" i="10"/>
  <c r="E49" i="10" s="1"/>
  <c r="F49" i="10" s="1"/>
  <c r="AC48" i="10"/>
  <c r="AB48" i="10"/>
  <c r="E48" i="10"/>
  <c r="F48" i="10" s="1"/>
  <c r="C48" i="10"/>
  <c r="AC47" i="10"/>
  <c r="AB47" i="10"/>
  <c r="C47" i="10"/>
  <c r="E47" i="10" s="1"/>
  <c r="F47" i="10" s="1"/>
  <c r="AC46" i="10"/>
  <c r="AB46" i="10"/>
  <c r="C46" i="10"/>
  <c r="E46" i="10" s="1"/>
  <c r="F46" i="10" s="1"/>
  <c r="AC45" i="10"/>
  <c r="AB45" i="10"/>
  <c r="C45" i="10"/>
  <c r="C54" i="10" s="1"/>
  <c r="E54" i="10" s="1"/>
  <c r="F54" i="10" s="1"/>
  <c r="AC44" i="10"/>
  <c r="AB44" i="10"/>
  <c r="C44" i="10"/>
  <c r="E44" i="10" s="1"/>
  <c r="F44" i="10" s="1"/>
  <c r="AC43" i="10"/>
  <c r="AB43" i="10"/>
  <c r="E43" i="10"/>
  <c r="F43" i="10" s="1"/>
  <c r="AC42" i="10"/>
  <c r="AB42" i="10"/>
  <c r="E42" i="10"/>
  <c r="F42" i="10" s="1"/>
  <c r="AC41" i="10"/>
  <c r="AB41" i="10"/>
  <c r="E41" i="10"/>
  <c r="F41" i="10" s="1"/>
  <c r="AC40" i="10"/>
  <c r="AB40" i="10"/>
  <c r="E40" i="10"/>
  <c r="F40" i="10" s="1"/>
  <c r="AC39" i="10"/>
  <c r="AB39" i="10"/>
  <c r="E39" i="10"/>
  <c r="F39" i="10" s="1"/>
  <c r="AC38" i="10"/>
  <c r="AB38" i="10"/>
  <c r="E38" i="10"/>
  <c r="F38" i="10" s="1"/>
  <c r="AC37" i="10"/>
  <c r="AB37" i="10"/>
  <c r="E37" i="10"/>
  <c r="F37" i="10" s="1"/>
  <c r="AC36" i="10"/>
  <c r="AB36" i="10"/>
  <c r="X36" i="10"/>
  <c r="E36" i="10"/>
  <c r="F36" i="10" s="1"/>
  <c r="AC35" i="10"/>
  <c r="X35" i="10"/>
  <c r="AB35" i="10" s="1"/>
  <c r="E35" i="10"/>
  <c r="F35" i="10" s="1"/>
  <c r="AC34" i="10"/>
  <c r="AB34" i="10"/>
  <c r="F34" i="10"/>
  <c r="E34" i="10"/>
  <c r="AC33" i="10"/>
  <c r="AB33" i="10"/>
  <c r="E33" i="10"/>
  <c r="F33" i="10" s="1"/>
  <c r="AC32" i="10"/>
  <c r="AB32" i="10"/>
  <c r="E32" i="10"/>
  <c r="F32" i="10" s="1"/>
  <c r="AC31" i="10"/>
  <c r="AB31" i="10"/>
  <c r="E31" i="10"/>
  <c r="E30" i="10" s="1"/>
  <c r="AA30" i="10"/>
  <c r="Z30" i="10"/>
  <c r="Y30" i="10"/>
  <c r="X30" i="10"/>
  <c r="W30" i="10"/>
  <c r="V30" i="10"/>
  <c r="U30" i="10"/>
  <c r="T30" i="10"/>
  <c r="S30" i="10"/>
  <c r="R30" i="10"/>
  <c r="Q30" i="10"/>
  <c r="P30" i="10"/>
  <c r="O30" i="10"/>
  <c r="N30" i="10"/>
  <c r="AC30" i="10" s="1"/>
  <c r="C49" i="1" s="1"/>
  <c r="L30" i="10"/>
  <c r="AB30" i="10" s="1"/>
  <c r="K30" i="10"/>
  <c r="J30" i="10"/>
  <c r="I30" i="10"/>
  <c r="H30" i="10"/>
  <c r="G30" i="10"/>
  <c r="D30" i="10"/>
  <c r="C30" i="10"/>
  <c r="AC29" i="10"/>
  <c r="AB29" i="10"/>
  <c r="E29" i="10"/>
  <c r="F29" i="10" s="1"/>
  <c r="AC28" i="10"/>
  <c r="AB28" i="10"/>
  <c r="E28" i="10"/>
  <c r="F28" i="10" s="1"/>
  <c r="AC27" i="10"/>
  <c r="AB27" i="10"/>
  <c r="F27" i="10"/>
  <c r="E27" i="10"/>
  <c r="AC26" i="10"/>
  <c r="AB26" i="10"/>
  <c r="E26" i="10"/>
  <c r="F26" i="10" s="1"/>
  <c r="AC25" i="10"/>
  <c r="AB25" i="10"/>
  <c r="E25" i="10"/>
  <c r="F25" i="10" s="1"/>
  <c r="F24" i="10" s="1"/>
  <c r="AA24" i="10"/>
  <c r="Z24" i="10"/>
  <c r="Y24" i="10"/>
  <c r="X24" i="10"/>
  <c r="W24" i="10"/>
  <c r="V24" i="10"/>
  <c r="U24" i="10"/>
  <c r="T24" i="10"/>
  <c r="S24" i="10"/>
  <c r="R24" i="10"/>
  <c r="Q24" i="10"/>
  <c r="P24" i="10"/>
  <c r="O24" i="10"/>
  <c r="N24" i="10"/>
  <c r="L24" i="10"/>
  <c r="K24" i="10"/>
  <c r="J24" i="10"/>
  <c r="I24" i="10"/>
  <c r="H24" i="10"/>
  <c r="AB24" i="10" s="1"/>
  <c r="G24" i="10"/>
  <c r="E24" i="10"/>
  <c r="D24" i="10"/>
  <c r="C24" i="10"/>
  <c r="B27" i="12" s="1"/>
  <c r="A14" i="10"/>
  <c r="A11" i="10"/>
  <c r="A8" i="10"/>
  <c r="A4" i="10"/>
  <c r="A15" i="9"/>
  <c r="A12" i="9"/>
  <c r="A5" i="9"/>
  <c r="C143" i="8"/>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B140" i="8"/>
  <c r="F139" i="8"/>
  <c r="E48" i="8" s="1"/>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G122" i="8"/>
  <c r="G121" i="8"/>
  <c r="G123" i="8" s="1"/>
  <c r="D121" i="8"/>
  <c r="B121" i="8"/>
  <c r="D110"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74" i="8" s="1"/>
  <c r="B54" i="8"/>
  <c r="C52" i="8"/>
  <c r="B52" i="8"/>
  <c r="B50" i="8"/>
  <c r="B59" i="8" s="1"/>
  <c r="C47" i="8"/>
  <c r="C61" i="8" s="1"/>
  <c r="C60" i="8" s="1"/>
  <c r="B47" i="8"/>
  <c r="B45" i="8"/>
  <c r="B44" i="8"/>
  <c r="B27" i="8"/>
  <c r="B25" i="8"/>
  <c r="A15" i="8"/>
  <c r="A12" i="8"/>
  <c r="A7" i="8"/>
  <c r="A15" i="7"/>
  <c r="A12" i="7"/>
  <c r="A9" i="7"/>
  <c r="A9" i="8" s="1"/>
  <c r="A9" i="9" s="1"/>
  <c r="A5" i="7"/>
  <c r="A5" i="8" s="1"/>
  <c r="A14" i="6"/>
  <c r="A11" i="6"/>
  <c r="A8" i="6"/>
  <c r="A4" i="6"/>
  <c r="A15" i="5"/>
  <c r="A12" i="5"/>
  <c r="A9" i="5"/>
  <c r="A5" i="5"/>
  <c r="R32" i="4"/>
  <c r="S32" i="4" s="1"/>
  <c r="Q32" i="4"/>
  <c r="E15" i="4"/>
  <c r="E12" i="4"/>
  <c r="E9" i="4"/>
  <c r="A5" i="4"/>
  <c r="P27" i="3"/>
  <c r="B24" i="12" s="1"/>
  <c r="O27" i="3"/>
  <c r="N27" i="3"/>
  <c r="Q25" i="3"/>
  <c r="A16" i="3"/>
  <c r="A13" i="3"/>
  <c r="A10" i="3"/>
  <c r="A6" i="3"/>
  <c r="S23" i="2"/>
  <c r="J23" i="2"/>
  <c r="H23" i="2"/>
  <c r="A15" i="2"/>
  <c r="A14" i="2"/>
  <c r="A11" i="2"/>
  <c r="A8" i="2"/>
  <c r="A4" i="2"/>
  <c r="C67" i="8" l="1"/>
  <c r="C76" i="8" s="1"/>
  <c r="D67" i="8"/>
  <c r="E67" i="8" s="1"/>
  <c r="G139" i="8"/>
  <c r="F48" i="8" s="1"/>
  <c r="B46" i="8"/>
  <c r="AC24" i="10"/>
  <c r="C48" i="1" s="1"/>
  <c r="B30" i="12"/>
  <c r="B83" i="12" s="1"/>
  <c r="D140" i="8"/>
  <c r="C49" i="8" s="1"/>
  <c r="B88" i="12"/>
  <c r="B80" i="12"/>
  <c r="B72" i="12"/>
  <c r="B68" i="12"/>
  <c r="B87" i="12" s="1"/>
  <c r="B63" i="12"/>
  <c r="B59" i="12"/>
  <c r="B55" i="12"/>
  <c r="B46" i="12"/>
  <c r="B42" i="12"/>
  <c r="B38" i="12"/>
  <c r="C89" i="12"/>
  <c r="B90" i="12"/>
  <c r="F67" i="8"/>
  <c r="E76" i="8"/>
  <c r="D143" i="8"/>
  <c r="C144" i="8"/>
  <c r="D144" i="8"/>
  <c r="H139" i="8"/>
  <c r="G48" i="8" s="1"/>
  <c r="E45" i="10"/>
  <c r="F45" i="10" s="1"/>
  <c r="F31" i="10"/>
  <c r="F30" i="10" s="1"/>
  <c r="C91" i="12" s="1"/>
  <c r="I121" i="8"/>
  <c r="I123" i="8" s="1"/>
  <c r="C111" i="8" s="1"/>
  <c r="B125" i="8"/>
  <c r="B129" i="8" s="1"/>
  <c r="B29" i="8" s="1"/>
  <c r="B80" i="8"/>
  <c r="B55" i="8"/>
  <c r="B66" i="8"/>
  <c r="B68" i="8" s="1"/>
  <c r="D58" i="8"/>
  <c r="C73" i="8" l="1"/>
  <c r="C85" i="8" s="1"/>
  <c r="C99" i="8" s="1"/>
  <c r="D76" i="8"/>
  <c r="B73" i="8"/>
  <c r="B85" i="8" s="1"/>
  <c r="B99" i="8" s="1"/>
  <c r="I139" i="8"/>
  <c r="H48" i="8" s="1"/>
  <c r="AQ81" i="8"/>
  <c r="E143" i="8"/>
  <c r="E144" i="8"/>
  <c r="E140" i="8"/>
  <c r="D49" i="8" s="1"/>
  <c r="B56" i="8"/>
  <c r="B69" i="8" s="1"/>
  <c r="B77" i="8" s="1"/>
  <c r="B82" i="8"/>
  <c r="C108" i="8"/>
  <c r="D111" i="8"/>
  <c r="G67" i="8"/>
  <c r="F76" i="8"/>
  <c r="D74" i="8"/>
  <c r="D47" i="8"/>
  <c r="D61" i="8" s="1"/>
  <c r="D60" i="8" s="1"/>
  <c r="E58" i="8"/>
  <c r="D52" i="8"/>
  <c r="B70" i="8"/>
  <c r="B75" i="8"/>
  <c r="C53" i="8"/>
  <c r="D73" i="8" l="1"/>
  <c r="D85" i="8" s="1"/>
  <c r="D99" i="8" s="1"/>
  <c r="C55" i="8"/>
  <c r="D53" i="8" s="1"/>
  <c r="B71" i="8"/>
  <c r="E47" i="8"/>
  <c r="E61" i="8" s="1"/>
  <c r="E60" i="8" s="1"/>
  <c r="E74" i="8"/>
  <c r="F58" i="8"/>
  <c r="E52" i="8"/>
  <c r="H67" i="8"/>
  <c r="G76" i="8"/>
  <c r="E111" i="8"/>
  <c r="D108" i="8"/>
  <c r="F140" i="8"/>
  <c r="E49" i="8" s="1"/>
  <c r="F143" i="8"/>
  <c r="J139" i="8"/>
  <c r="I48" i="8" s="1"/>
  <c r="C50" i="8" l="1"/>
  <c r="C59" i="8" s="1"/>
  <c r="D55" i="8"/>
  <c r="E53" i="8" s="1"/>
  <c r="G143" i="8"/>
  <c r="G144" i="8"/>
  <c r="G140" i="8"/>
  <c r="F49" i="8" s="1"/>
  <c r="B78" i="8"/>
  <c r="B83" i="8" s="1"/>
  <c r="F144" i="8"/>
  <c r="F74" i="8"/>
  <c r="G58" i="8"/>
  <c r="F47" i="8"/>
  <c r="F61" i="8" s="1"/>
  <c r="F60" i="8" s="1"/>
  <c r="F52" i="8"/>
  <c r="B72" i="8"/>
  <c r="K139" i="8"/>
  <c r="J48" i="8" s="1"/>
  <c r="F111" i="8"/>
  <c r="E108" i="8"/>
  <c r="H76" i="8"/>
  <c r="I67" i="8"/>
  <c r="C82" i="8"/>
  <c r="C56" i="8"/>
  <c r="C69" i="8" s="1"/>
  <c r="C77" i="8" s="1"/>
  <c r="D50" i="8" l="1"/>
  <c r="D59" i="8" s="1"/>
  <c r="E73" i="8"/>
  <c r="E85" i="8" s="1"/>
  <c r="E99" i="8" s="1"/>
  <c r="C66" i="8"/>
  <c r="C68" i="8" s="1"/>
  <c r="C80" i="8"/>
  <c r="F73" i="8"/>
  <c r="F85" i="8" s="1"/>
  <c r="F99" i="8" s="1"/>
  <c r="E55" i="8"/>
  <c r="F53" i="8"/>
  <c r="L139" i="8"/>
  <c r="K48" i="8" s="1"/>
  <c r="G74" i="8"/>
  <c r="H58" i="8"/>
  <c r="G47" i="8"/>
  <c r="G61" i="8" s="1"/>
  <c r="G60" i="8" s="1"/>
  <c r="G52" i="8"/>
  <c r="H143" i="8"/>
  <c r="H144" i="8"/>
  <c r="G111" i="8"/>
  <c r="F108" i="8"/>
  <c r="B88" i="8"/>
  <c r="B86" i="8"/>
  <c r="B84" i="8"/>
  <c r="B89" i="8" s="1"/>
  <c r="H140" i="8"/>
  <c r="G49" i="8" s="1"/>
  <c r="D82" i="8"/>
  <c r="D56" i="8"/>
  <c r="D69" i="8" s="1"/>
  <c r="D77" i="8" s="1"/>
  <c r="J67" i="8"/>
  <c r="I76" i="8"/>
  <c r="G73" i="8" l="1"/>
  <c r="G85" i="8" s="1"/>
  <c r="G99" i="8" s="1"/>
  <c r="E50" i="8"/>
  <c r="E59" i="8" s="1"/>
  <c r="C75" i="8"/>
  <c r="C70" i="8"/>
  <c r="C71" i="8" s="1"/>
  <c r="D80" i="8"/>
  <c r="D66" i="8"/>
  <c r="D68" i="8" s="1"/>
  <c r="C72" i="8"/>
  <c r="C78" i="8"/>
  <c r="G108" i="8"/>
  <c r="H111" i="8"/>
  <c r="C83" i="8"/>
  <c r="H74" i="8"/>
  <c r="I58" i="8"/>
  <c r="H47" i="8"/>
  <c r="H52" i="8"/>
  <c r="J76" i="8"/>
  <c r="K67" i="8"/>
  <c r="I140" i="8"/>
  <c r="H49" i="8" s="1"/>
  <c r="M139" i="8"/>
  <c r="L48" i="8" s="1"/>
  <c r="B87" i="8"/>
  <c r="B90" i="8" s="1"/>
  <c r="F55" i="8"/>
  <c r="I143" i="8"/>
  <c r="I144" i="8"/>
  <c r="E56" i="8"/>
  <c r="E69" i="8" s="1"/>
  <c r="E77" i="8" s="1"/>
  <c r="E82" i="8"/>
  <c r="H73" i="8" l="1"/>
  <c r="H85" i="8" s="1"/>
  <c r="H99" i="8" s="1"/>
  <c r="F50" i="8"/>
  <c r="F59" i="8" s="1"/>
  <c r="D75" i="8"/>
  <c r="D70" i="8"/>
  <c r="D71" i="8" s="1"/>
  <c r="E66" i="8"/>
  <c r="E68" i="8" s="1"/>
  <c r="E80" i="8"/>
  <c r="H61" i="8"/>
  <c r="H60" i="8" s="1"/>
  <c r="F82" i="8"/>
  <c r="F56" i="8"/>
  <c r="F69" i="8" s="1"/>
  <c r="F77" i="8" s="1"/>
  <c r="I52" i="8"/>
  <c r="J58" i="8"/>
  <c r="I47" i="8"/>
  <c r="I74" i="8"/>
  <c r="L67" i="8"/>
  <c r="K76" i="8"/>
  <c r="D78" i="8"/>
  <c r="D83" i="8" s="1"/>
  <c r="D86" i="8" s="1"/>
  <c r="C86" i="8"/>
  <c r="C88" i="8"/>
  <c r="D88" i="8"/>
  <c r="C84" i="8"/>
  <c r="C89" i="8" s="1"/>
  <c r="N139" i="8"/>
  <c r="M48" i="8" s="1"/>
  <c r="H108" i="8"/>
  <c r="I111" i="8"/>
  <c r="J140" i="8"/>
  <c r="I49" i="8" s="1"/>
  <c r="D72" i="8"/>
  <c r="J143" i="8"/>
  <c r="J144" i="8"/>
  <c r="G53" i="8"/>
  <c r="I73" i="8" l="1"/>
  <c r="I85" i="8" s="1"/>
  <c r="I99" i="8" s="1"/>
  <c r="G50" i="8"/>
  <c r="G59" i="8" s="1"/>
  <c r="E70" i="8"/>
  <c r="E71" i="8" s="1"/>
  <c r="E78" i="8" s="1"/>
  <c r="E75" i="8"/>
  <c r="F80" i="8"/>
  <c r="F66" i="8"/>
  <c r="F68" i="8" s="1"/>
  <c r="E72" i="8"/>
  <c r="K140" i="8"/>
  <c r="J49" i="8" s="1"/>
  <c r="C87" i="8"/>
  <c r="C90" i="8" s="1"/>
  <c r="D87" i="8"/>
  <c r="M67" i="8"/>
  <c r="L76" i="8"/>
  <c r="O139" i="8"/>
  <c r="N48" i="8" s="1"/>
  <c r="K58" i="8"/>
  <c r="J47" i="8"/>
  <c r="J52" i="8"/>
  <c r="J74" i="8"/>
  <c r="G55" i="8"/>
  <c r="H53" i="8" s="1"/>
  <c r="D84" i="8"/>
  <c r="D89" i="8" s="1"/>
  <c r="K143" i="8"/>
  <c r="K144" i="8" s="1"/>
  <c r="J111" i="8"/>
  <c r="I108" i="8"/>
  <c r="F70" i="8" l="1"/>
  <c r="F71" i="8" s="1"/>
  <c r="F75" i="8"/>
  <c r="H50" i="8"/>
  <c r="H59" i="8" s="1"/>
  <c r="J73" i="8"/>
  <c r="J85" i="8" s="1"/>
  <c r="J99" i="8" s="1"/>
  <c r="E83" i="8"/>
  <c r="G66" i="8"/>
  <c r="G68" i="8" s="1"/>
  <c r="G75" i="8" s="1"/>
  <c r="G80" i="8"/>
  <c r="D90" i="8"/>
  <c r="H55" i="8"/>
  <c r="I53" i="8"/>
  <c r="K47" i="8"/>
  <c r="K52" i="8"/>
  <c r="L58" i="8"/>
  <c r="K74" i="8"/>
  <c r="L140" i="8"/>
  <c r="K49" i="8" s="1"/>
  <c r="M76" i="8"/>
  <c r="N67" i="8"/>
  <c r="K111" i="8"/>
  <c r="J108" i="8"/>
  <c r="G82" i="8"/>
  <c r="G56" i="8"/>
  <c r="G69" i="8" s="1"/>
  <c r="L143" i="8"/>
  <c r="L144" i="8"/>
  <c r="P139" i="8"/>
  <c r="O48" i="8" s="1"/>
  <c r="K73" i="8" l="1"/>
  <c r="K85" i="8" s="1"/>
  <c r="K99" i="8" s="1"/>
  <c r="I50" i="8"/>
  <c r="I59" i="8" s="1"/>
  <c r="E86" i="8"/>
  <c r="E84" i="8"/>
  <c r="E89" i="8" s="1"/>
  <c r="E88" i="8"/>
  <c r="H80" i="8"/>
  <c r="H66" i="8"/>
  <c r="H68" i="8" s="1"/>
  <c r="H75" i="8" s="1"/>
  <c r="F72" i="8"/>
  <c r="F78" i="8"/>
  <c r="F83" i="8" s="1"/>
  <c r="M143" i="8"/>
  <c r="M144" i="8" s="1"/>
  <c r="M140" i="8"/>
  <c r="L49" i="8" s="1"/>
  <c r="G77" i="8"/>
  <c r="G70" i="8"/>
  <c r="N76" i="8"/>
  <c r="O67" i="8"/>
  <c r="L47" i="8"/>
  <c r="M58" i="8"/>
  <c r="L52" i="8"/>
  <c r="L74" i="8"/>
  <c r="I55" i="8"/>
  <c r="J53" i="8"/>
  <c r="L111" i="8"/>
  <c r="K108" i="8"/>
  <c r="Q139" i="8"/>
  <c r="P48" i="8" s="1"/>
  <c r="H82" i="8"/>
  <c r="H56" i="8"/>
  <c r="H69" i="8" s="1"/>
  <c r="J50" i="8" l="1"/>
  <c r="J59" i="8" s="1"/>
  <c r="L85" i="8"/>
  <c r="L99" i="8" s="1"/>
  <c r="L73" i="8"/>
  <c r="F86" i="8"/>
  <c r="F88" i="8"/>
  <c r="F84" i="8"/>
  <c r="F89" i="8" s="1"/>
  <c r="E87" i="8"/>
  <c r="E90" i="8" s="1"/>
  <c r="F87" i="8"/>
  <c r="F90" i="8" s="1"/>
  <c r="I66" i="8"/>
  <c r="I68" i="8" s="1"/>
  <c r="I75" i="8" s="1"/>
  <c r="I80" i="8"/>
  <c r="H77" i="8"/>
  <c r="H70" i="8"/>
  <c r="M111" i="8"/>
  <c r="L108" i="8"/>
  <c r="M74" i="8"/>
  <c r="M52" i="8"/>
  <c r="N58" i="8"/>
  <c r="M47" i="8"/>
  <c r="R139" i="8"/>
  <c r="Q48" i="8" s="1"/>
  <c r="J55" i="8"/>
  <c r="K53" i="8" s="1"/>
  <c r="I82" i="8"/>
  <c r="I56" i="8"/>
  <c r="I69" i="8" s="1"/>
  <c r="P67" i="8"/>
  <c r="O76" i="8"/>
  <c r="G71" i="8"/>
  <c r="N140" i="8"/>
  <c r="M49" i="8" s="1"/>
  <c r="N143" i="8"/>
  <c r="N144" i="8"/>
  <c r="M85" i="8" l="1"/>
  <c r="M99" i="8" s="1"/>
  <c r="M73" i="8"/>
  <c r="K50" i="8"/>
  <c r="K59" i="8" s="1"/>
  <c r="J66" i="8"/>
  <c r="J68" i="8" s="1"/>
  <c r="J75" i="8" s="1"/>
  <c r="J80" i="8"/>
  <c r="K55" i="8"/>
  <c r="O140" i="8"/>
  <c r="N49" i="8" s="1"/>
  <c r="O143" i="8"/>
  <c r="O144" i="8"/>
  <c r="G78" i="8"/>
  <c r="G83" i="8" s="1"/>
  <c r="G72" i="8"/>
  <c r="Q67" i="8"/>
  <c r="P76" i="8"/>
  <c r="I77" i="8"/>
  <c r="I70" i="8"/>
  <c r="J56" i="8"/>
  <c r="J69" i="8" s="1"/>
  <c r="J82" i="8"/>
  <c r="S139" i="8"/>
  <c r="R48" i="8" s="1"/>
  <c r="O58" i="8"/>
  <c r="N47" i="8"/>
  <c r="N61" i="8" s="1"/>
  <c r="N60" i="8" s="1"/>
  <c r="N74" i="8"/>
  <c r="N52" i="8"/>
  <c r="N111" i="8"/>
  <c r="M108" i="8"/>
  <c r="H71" i="8"/>
  <c r="H78" i="8" s="1"/>
  <c r="H83" i="8" s="1"/>
  <c r="H86" i="8" s="1"/>
  <c r="L50" i="8" l="1"/>
  <c r="L59" i="8" s="1"/>
  <c r="K80" i="8"/>
  <c r="K66" i="8"/>
  <c r="K68" i="8" s="1"/>
  <c r="K75" i="8" s="1"/>
  <c r="N73" i="8"/>
  <c r="N85" i="8" s="1"/>
  <c r="N99" i="8" s="1"/>
  <c r="H72" i="8"/>
  <c r="R67" i="8"/>
  <c r="Q76" i="8"/>
  <c r="O111" i="8"/>
  <c r="N108" i="8"/>
  <c r="T139" i="8"/>
  <c r="S48" i="8" s="1"/>
  <c r="G86" i="8"/>
  <c r="G84" i="8"/>
  <c r="G89" i="8" s="1"/>
  <c r="H84" i="8"/>
  <c r="H88" i="8"/>
  <c r="G88" i="8"/>
  <c r="K82" i="8"/>
  <c r="K56" i="8"/>
  <c r="K69" i="8" s="1"/>
  <c r="O47" i="8"/>
  <c r="P58" i="8"/>
  <c r="O74" i="8"/>
  <c r="O52" i="8"/>
  <c r="J77" i="8"/>
  <c r="J70" i="8"/>
  <c r="I71" i="8"/>
  <c r="I78" i="8" s="1"/>
  <c r="I83" i="8" s="1"/>
  <c r="P143" i="8"/>
  <c r="P144" i="8"/>
  <c r="P140" i="8"/>
  <c r="O49" i="8" s="1"/>
  <c r="L53" i="8"/>
  <c r="O73" i="8" l="1"/>
  <c r="O85" i="8" s="1"/>
  <c r="O99" i="8" s="1"/>
  <c r="M50" i="8"/>
  <c r="M59" i="8" s="1"/>
  <c r="L66" i="8"/>
  <c r="L68" i="8" s="1"/>
  <c r="L75" i="8" s="1"/>
  <c r="L80" i="8"/>
  <c r="H89" i="8"/>
  <c r="I86" i="8"/>
  <c r="I87" i="8" s="1"/>
  <c r="I88" i="8"/>
  <c r="I84" i="8"/>
  <c r="I89" i="8" s="1"/>
  <c r="I72" i="8"/>
  <c r="L55" i="8"/>
  <c r="M53" i="8" s="1"/>
  <c r="J71" i="8"/>
  <c r="J78" i="8" s="1"/>
  <c r="J83" i="8" s="1"/>
  <c r="Q140" i="8"/>
  <c r="P49" i="8" s="1"/>
  <c r="Q58" i="8"/>
  <c r="P52" i="8"/>
  <c r="P47" i="8"/>
  <c r="P74" i="8"/>
  <c r="G87" i="8"/>
  <c r="G90" i="8" s="1"/>
  <c r="H87" i="8"/>
  <c r="U139" i="8"/>
  <c r="T48" i="8" s="1"/>
  <c r="P111" i="8"/>
  <c r="O108" i="8"/>
  <c r="Q143" i="8"/>
  <c r="Q144" i="8" s="1"/>
  <c r="K77" i="8"/>
  <c r="K70" i="8"/>
  <c r="R76" i="8"/>
  <c r="S67" i="8"/>
  <c r="P85" i="8" l="1"/>
  <c r="P99" i="8" s="1"/>
  <c r="P73" i="8"/>
  <c r="N50" i="8"/>
  <c r="N59" i="8" s="1"/>
  <c r="M80" i="8"/>
  <c r="M66" i="8"/>
  <c r="M68" i="8" s="1"/>
  <c r="M75" i="8" s="1"/>
  <c r="H90" i="8"/>
  <c r="J86" i="8"/>
  <c r="J84" i="8"/>
  <c r="J89" i="8" s="1"/>
  <c r="J88" i="8"/>
  <c r="M55" i="8"/>
  <c r="N53" i="8"/>
  <c r="P108" i="8"/>
  <c r="Q111" i="8"/>
  <c r="V139" i="8"/>
  <c r="U48" i="8" s="1"/>
  <c r="I90" i="8"/>
  <c r="R140" i="8"/>
  <c r="Q49" i="8" s="1"/>
  <c r="L56" i="8"/>
  <c r="L69" i="8" s="1"/>
  <c r="L82" i="8"/>
  <c r="K71" i="8"/>
  <c r="K78" i="8" s="1"/>
  <c r="K83" i="8" s="1"/>
  <c r="R143" i="8"/>
  <c r="R144" i="8" s="1"/>
  <c r="R58" i="8"/>
  <c r="Q47" i="8"/>
  <c r="Q74" i="8"/>
  <c r="Q52" i="8"/>
  <c r="J72" i="8"/>
  <c r="T67" i="8"/>
  <c r="S76" i="8"/>
  <c r="Q73" i="8" l="1"/>
  <c r="Q85" i="8" s="1"/>
  <c r="Q99" i="8" s="1"/>
  <c r="O50" i="8"/>
  <c r="O59" i="8" s="1"/>
  <c r="N66" i="8"/>
  <c r="N68" i="8" s="1"/>
  <c r="N75" i="8" s="1"/>
  <c r="N80" i="8"/>
  <c r="N79" i="8"/>
  <c r="K86" i="8"/>
  <c r="K87" i="8" s="1"/>
  <c r="K84" i="8"/>
  <c r="K89" i="8" s="1"/>
  <c r="K88" i="8"/>
  <c r="S58" i="8"/>
  <c r="R47" i="8"/>
  <c r="R74" i="8"/>
  <c r="R52" i="8"/>
  <c r="U67" i="8"/>
  <c r="T76" i="8"/>
  <c r="S143" i="8"/>
  <c r="S144" i="8"/>
  <c r="L77" i="8"/>
  <c r="L70" i="8"/>
  <c r="S140" i="8"/>
  <c r="R49" i="8" s="1"/>
  <c r="W139" i="8"/>
  <c r="V48" i="8" s="1"/>
  <c r="R111" i="8"/>
  <c r="Q108" i="8"/>
  <c r="N55" i="8"/>
  <c r="M56" i="8"/>
  <c r="M69" i="8" s="1"/>
  <c r="M82" i="8"/>
  <c r="K72" i="8"/>
  <c r="J87" i="8"/>
  <c r="J90" i="8" s="1"/>
  <c r="R73" i="8" l="1"/>
  <c r="R85" i="8" s="1"/>
  <c r="R99" i="8" s="1"/>
  <c r="P50" i="8"/>
  <c r="P59" i="8" s="1"/>
  <c r="O80" i="8"/>
  <c r="O66" i="8"/>
  <c r="O68" i="8" s="1"/>
  <c r="O75" i="8" s="1"/>
  <c r="O79" i="8"/>
  <c r="K90" i="8"/>
  <c r="N82" i="8"/>
  <c r="N56" i="8"/>
  <c r="N69" i="8" s="1"/>
  <c r="T140" i="8"/>
  <c r="S49" i="8" s="1"/>
  <c r="X139" i="8"/>
  <c r="W48" i="8" s="1"/>
  <c r="S52" i="8"/>
  <c r="T58" i="8"/>
  <c r="S47" i="8"/>
  <c r="S74" i="8"/>
  <c r="M77" i="8"/>
  <c r="M70" i="8"/>
  <c r="S111" i="8"/>
  <c r="R108" i="8"/>
  <c r="O53" i="8"/>
  <c r="T143" i="8"/>
  <c r="T144" i="8" s="1"/>
  <c r="V67" i="8"/>
  <c r="U76" i="8"/>
  <c r="L71" i="8"/>
  <c r="L78" i="8" s="1"/>
  <c r="L83" i="8" s="1"/>
  <c r="S85" i="8" l="1"/>
  <c r="S99" i="8" s="1"/>
  <c r="S73" i="8"/>
  <c r="Q50" i="8"/>
  <c r="Q59" i="8" s="1"/>
  <c r="P79" i="8"/>
  <c r="P66" i="8"/>
  <c r="P68" i="8" s="1"/>
  <c r="P75" i="8" s="1"/>
  <c r="P80" i="8"/>
  <c r="L86" i="8"/>
  <c r="L87" i="8" s="1"/>
  <c r="L90" i="8" s="1"/>
  <c r="G29" i="8" s="1"/>
  <c r="D105" i="8" s="1"/>
  <c r="L88" i="8"/>
  <c r="B105" i="8" s="1"/>
  <c r="L84" i="8"/>
  <c r="L89" i="8" s="1"/>
  <c r="U143" i="8"/>
  <c r="U144" i="8"/>
  <c r="U58" i="8"/>
  <c r="T47" i="8"/>
  <c r="T74" i="8"/>
  <c r="T52" i="8"/>
  <c r="Y139" i="8"/>
  <c r="X48" i="8" s="1"/>
  <c r="L72" i="8"/>
  <c r="T111" i="8"/>
  <c r="S108" i="8"/>
  <c r="U140" i="8"/>
  <c r="T49" i="8" s="1"/>
  <c r="P53" i="8"/>
  <c r="O55" i="8"/>
  <c r="M71" i="8"/>
  <c r="M78" i="8" s="1"/>
  <c r="M83" i="8" s="1"/>
  <c r="W67" i="8"/>
  <c r="V76" i="8"/>
  <c r="N77" i="8"/>
  <c r="N70" i="8"/>
  <c r="R50" i="8" l="1"/>
  <c r="R59" i="8" s="1"/>
  <c r="T73" i="8"/>
  <c r="T85" i="8" s="1"/>
  <c r="T99" i="8" s="1"/>
  <c r="Q66" i="8"/>
  <c r="Q68" i="8" s="1"/>
  <c r="Q75" i="8" s="1"/>
  <c r="Q80" i="8"/>
  <c r="Q79" i="8"/>
  <c r="M86" i="8"/>
  <c r="M87" i="8" s="1"/>
  <c r="M84" i="8"/>
  <c r="M89" i="8" s="1"/>
  <c r="G28" i="8" s="1"/>
  <c r="C105" i="8" s="1"/>
  <c r="M88" i="8"/>
  <c r="P55" i="8"/>
  <c r="X67" i="8"/>
  <c r="W76" i="8"/>
  <c r="M72" i="8"/>
  <c r="V140" i="8"/>
  <c r="U49" i="8" s="1"/>
  <c r="U111" i="8"/>
  <c r="T108" i="8"/>
  <c r="T61" i="8"/>
  <c r="T60" i="8" s="1"/>
  <c r="V58" i="8"/>
  <c r="U47" i="8"/>
  <c r="U52" i="8"/>
  <c r="U74" i="8"/>
  <c r="V143" i="8"/>
  <c r="V144" i="8" s="1"/>
  <c r="Z139" i="8"/>
  <c r="Y48" i="8" s="1"/>
  <c r="N71" i="8"/>
  <c r="N78" i="8" s="1"/>
  <c r="N83" i="8" s="1"/>
  <c r="O82" i="8"/>
  <c r="O56" i="8"/>
  <c r="O69" i="8" s="1"/>
  <c r="U73" i="8" l="1"/>
  <c r="U85" i="8" s="1"/>
  <c r="U99" i="8" s="1"/>
  <c r="S50" i="8"/>
  <c r="S59" i="8" s="1"/>
  <c r="R80" i="8"/>
  <c r="R66" i="8"/>
  <c r="R68" i="8" s="1"/>
  <c r="R75" i="8" s="1"/>
  <c r="R79" i="8"/>
  <c r="N86" i="8"/>
  <c r="N87" i="8" s="1"/>
  <c r="N90" i="8" s="1"/>
  <c r="N88" i="8"/>
  <c r="N84" i="8"/>
  <c r="N89" i="8" s="1"/>
  <c r="O77" i="8"/>
  <c r="O70" i="8"/>
  <c r="AA139" i="8"/>
  <c r="Z48" i="8" s="1"/>
  <c r="N72" i="8"/>
  <c r="V111" i="8"/>
  <c r="U108" i="8"/>
  <c r="W140" i="8"/>
  <c r="V49" i="8" s="1"/>
  <c r="Y67" i="8"/>
  <c r="X76" i="8"/>
  <c r="P56" i="8"/>
  <c r="P69" i="8" s="1"/>
  <c r="P82" i="8"/>
  <c r="Q53" i="8"/>
  <c r="W143" i="8"/>
  <c r="W144" i="8"/>
  <c r="V47" i="8"/>
  <c r="W58" i="8"/>
  <c r="V74" i="8"/>
  <c r="V52" i="8"/>
  <c r="G30" i="8"/>
  <c r="A105" i="8" s="1"/>
  <c r="M90" i="8"/>
  <c r="T50" i="8" l="1"/>
  <c r="T59" i="8" s="1"/>
  <c r="V85" i="8"/>
  <c r="V99" i="8" s="1"/>
  <c r="V73" i="8"/>
  <c r="S80" i="8"/>
  <c r="S79" i="8"/>
  <c r="S66" i="8"/>
  <c r="S68" i="8" s="1"/>
  <c r="S75" i="8" s="1"/>
  <c r="P77" i="8"/>
  <c r="P70" i="8"/>
  <c r="W111" i="8"/>
  <c r="V108" i="8"/>
  <c r="Q55" i="8"/>
  <c r="Z67" i="8"/>
  <c r="Y76" i="8"/>
  <c r="X58" i="8"/>
  <c r="W47" i="8"/>
  <c r="W74" i="8"/>
  <c r="W52" i="8"/>
  <c r="X143" i="8"/>
  <c r="X144" i="8"/>
  <c r="X140" i="8"/>
  <c r="W49" i="8" s="1"/>
  <c r="AB139" i="8"/>
  <c r="AA48" i="8" s="1"/>
  <c r="O71" i="8"/>
  <c r="O78" i="8" s="1"/>
  <c r="O83" i="8" s="1"/>
  <c r="W73" i="8" l="1"/>
  <c r="W85" i="8" s="1"/>
  <c r="W99" i="8" s="1"/>
  <c r="T66" i="8"/>
  <c r="T68" i="8" s="1"/>
  <c r="T75" i="8" s="1"/>
  <c r="T80" i="8"/>
  <c r="T79" i="8"/>
  <c r="U50" i="8"/>
  <c r="U59" i="8" s="1"/>
  <c r="O86" i="8"/>
  <c r="O87" i="8" s="1"/>
  <c r="O90" i="8" s="1"/>
  <c r="O84" i="8"/>
  <c r="O89" i="8" s="1"/>
  <c r="O88" i="8"/>
  <c r="O72" i="8"/>
  <c r="AC139" i="8"/>
  <c r="AB48" i="8" s="1"/>
  <c r="Y140" i="8"/>
  <c r="X49" i="8" s="1"/>
  <c r="Q56" i="8"/>
  <c r="Q69" i="8" s="1"/>
  <c r="Q82" i="8"/>
  <c r="Y143" i="8"/>
  <c r="Y144" i="8" s="1"/>
  <c r="X47" i="8"/>
  <c r="X52" i="8"/>
  <c r="Y58" i="8"/>
  <c r="X74" i="8"/>
  <c r="R53" i="8"/>
  <c r="AA67" i="8"/>
  <c r="Z76" i="8"/>
  <c r="W108" i="8"/>
  <c r="X111" i="8"/>
  <c r="P71" i="8"/>
  <c r="P78" i="8" s="1"/>
  <c r="P83" i="8" s="1"/>
  <c r="V50" i="8" l="1"/>
  <c r="V59" i="8" s="1"/>
  <c r="X73" i="8"/>
  <c r="X85" i="8" s="1"/>
  <c r="X99" i="8" s="1"/>
  <c r="U80" i="8"/>
  <c r="U79" i="8"/>
  <c r="U66" i="8"/>
  <c r="U68" i="8" s="1"/>
  <c r="U75" i="8" s="1"/>
  <c r="P86" i="8"/>
  <c r="P87" i="8" s="1"/>
  <c r="P90" i="8" s="1"/>
  <c r="P84" i="8"/>
  <c r="P89" i="8" s="1"/>
  <c r="P88" i="8"/>
  <c r="X108" i="8"/>
  <c r="Y111" i="8"/>
  <c r="Z143" i="8"/>
  <c r="Z144" i="8"/>
  <c r="Y47" i="8"/>
  <c r="Y74" i="8"/>
  <c r="Z58" i="8"/>
  <c r="Y52" i="8"/>
  <c r="Q77" i="8"/>
  <c r="Q70" i="8"/>
  <c r="Z140" i="8"/>
  <c r="Y49" i="8" s="1"/>
  <c r="P72" i="8"/>
  <c r="AD139" i="8"/>
  <c r="AC48" i="8" s="1"/>
  <c r="AB67" i="8"/>
  <c r="AA76" i="8"/>
  <c r="AQ67" i="8"/>
  <c r="R55" i="8"/>
  <c r="Y73" i="8" l="1"/>
  <c r="Y85" i="8" s="1"/>
  <c r="Y99" i="8" s="1"/>
  <c r="W50" i="8"/>
  <c r="W59" i="8" s="1"/>
  <c r="V66" i="8"/>
  <c r="V68" i="8" s="1"/>
  <c r="V75" i="8" s="1"/>
  <c r="V79" i="8"/>
  <c r="V80" i="8"/>
  <c r="AE139" i="8"/>
  <c r="AD48" i="8" s="1"/>
  <c r="AA140" i="8"/>
  <c r="Z49" i="8" s="1"/>
  <c r="Z47" i="8"/>
  <c r="Z61" i="8" s="1"/>
  <c r="Z60" i="8" s="1"/>
  <c r="AA58" i="8"/>
  <c r="Z52" i="8"/>
  <c r="Z74" i="8"/>
  <c r="R82" i="8"/>
  <c r="R56" i="8"/>
  <c r="R69" i="8" s="1"/>
  <c r="S53" i="8"/>
  <c r="AC67" i="8"/>
  <c r="AB76" i="8"/>
  <c r="Q71" i="8"/>
  <c r="Q78" i="8" s="1"/>
  <c r="Q83" i="8" s="1"/>
  <c r="AA143" i="8"/>
  <c r="AA144" i="8"/>
  <c r="Y108" i="8"/>
  <c r="Z111" i="8"/>
  <c r="X50" i="8" l="1"/>
  <c r="X59" i="8" s="1"/>
  <c r="Z73" i="8"/>
  <c r="Z85" i="8" s="1"/>
  <c r="Z99" i="8" s="1"/>
  <c r="W66" i="8"/>
  <c r="W68" i="8" s="1"/>
  <c r="W75" i="8" s="1"/>
  <c r="W79" i="8"/>
  <c r="W80" i="8"/>
  <c r="Q86" i="8"/>
  <c r="Q87" i="8" s="1"/>
  <c r="Q90" i="8" s="1"/>
  <c r="Q88" i="8"/>
  <c r="Q84" i="8"/>
  <c r="Q89" i="8" s="1"/>
  <c r="R77" i="8"/>
  <c r="R70" i="8"/>
  <c r="AB143" i="8"/>
  <c r="AB144" i="8"/>
  <c r="AD67" i="8"/>
  <c r="AC76" i="8"/>
  <c r="S55" i="8"/>
  <c r="T53" i="8"/>
  <c r="AB140" i="8"/>
  <c r="AA49" i="8" s="1"/>
  <c r="AF139" i="8"/>
  <c r="AE48" i="8" s="1"/>
  <c r="AA111" i="8"/>
  <c r="Z108" i="8"/>
  <c r="Q72" i="8"/>
  <c r="AA47" i="8"/>
  <c r="AA52" i="8"/>
  <c r="AA74" i="8"/>
  <c r="AB58" i="8"/>
  <c r="Y50" i="8" l="1"/>
  <c r="Y59" i="8" s="1"/>
  <c r="AA73" i="8"/>
  <c r="AA85" i="8" s="1"/>
  <c r="AA99" i="8" s="1"/>
  <c r="X79" i="8"/>
  <c r="X80" i="8"/>
  <c r="X66" i="8"/>
  <c r="X68" i="8" s="1"/>
  <c r="X75" i="8" s="1"/>
  <c r="AB47" i="8"/>
  <c r="AB52" i="8"/>
  <c r="AC58" i="8"/>
  <c r="AB74" i="8"/>
  <c r="AA108" i="8"/>
  <c r="AB111" i="8"/>
  <c r="AC140" i="8"/>
  <c r="AB49" i="8" s="1"/>
  <c r="T55" i="8"/>
  <c r="U53" i="8" s="1"/>
  <c r="AE67" i="8"/>
  <c r="AD76" i="8"/>
  <c r="AC143" i="8"/>
  <c r="AC144" i="8"/>
  <c r="R71" i="8"/>
  <c r="R78" i="8" s="1"/>
  <c r="AG139" i="8"/>
  <c r="AF48" i="8" s="1"/>
  <c r="S82" i="8"/>
  <c r="S56" i="8"/>
  <c r="S69" i="8" s="1"/>
  <c r="R83" i="8"/>
  <c r="AB85" i="8" l="1"/>
  <c r="AB99" i="8" s="1"/>
  <c r="AB73" i="8"/>
  <c r="Z50" i="8"/>
  <c r="Z59" i="8" s="1"/>
  <c r="Y80" i="8"/>
  <c r="Y79" i="8"/>
  <c r="Y66" i="8"/>
  <c r="Y68" i="8" s="1"/>
  <c r="Y75" i="8" s="1"/>
  <c r="U55" i="8"/>
  <c r="V53" i="8"/>
  <c r="R86" i="8"/>
  <c r="R87" i="8" s="1"/>
  <c r="R90" i="8" s="1"/>
  <c r="R88" i="8"/>
  <c r="R84" i="8"/>
  <c r="R89" i="8" s="1"/>
  <c r="AH139" i="8"/>
  <c r="AG48" i="8" s="1"/>
  <c r="R72" i="8"/>
  <c r="AD143" i="8"/>
  <c r="AD144" i="8" s="1"/>
  <c r="AE76" i="8"/>
  <c r="AF67" i="8"/>
  <c r="AD140" i="8"/>
  <c r="AC49" i="8" s="1"/>
  <c r="S77" i="8"/>
  <c r="S70" i="8"/>
  <c r="AC47" i="8"/>
  <c r="AC52" i="8"/>
  <c r="AC74" i="8"/>
  <c r="AD58" i="8"/>
  <c r="T82" i="8"/>
  <c r="T56" i="8"/>
  <c r="T69" i="8" s="1"/>
  <c r="AB108" i="8"/>
  <c r="AC111" i="8"/>
  <c r="AA50" i="8" l="1"/>
  <c r="AA59" i="8" s="1"/>
  <c r="Z80" i="8"/>
  <c r="Z66" i="8"/>
  <c r="Z68" i="8" s="1"/>
  <c r="Z75" i="8" s="1"/>
  <c r="Z79" i="8"/>
  <c r="AC73" i="8"/>
  <c r="AC85" i="8" s="1"/>
  <c r="AC99" i="8" s="1"/>
  <c r="S71" i="8"/>
  <c r="S78" i="8" s="1"/>
  <c r="S83" i="8" s="1"/>
  <c r="AC108" i="8"/>
  <c r="AD111" i="8"/>
  <c r="AE140" i="8"/>
  <c r="AD49" i="8" s="1"/>
  <c r="AE143" i="8"/>
  <c r="AE144" i="8"/>
  <c r="AI139" i="8"/>
  <c r="AH48" i="8" s="1"/>
  <c r="T77" i="8"/>
  <c r="T70" i="8"/>
  <c r="AG67" i="8"/>
  <c r="AF76" i="8"/>
  <c r="AR67" i="8"/>
  <c r="AD47" i="8"/>
  <c r="AE58" i="8"/>
  <c r="AD52" i="8"/>
  <c r="AD74" i="8"/>
  <c r="V55" i="8"/>
  <c r="U82" i="8"/>
  <c r="U56" i="8"/>
  <c r="U69" i="8" s="1"/>
  <c r="AD73" i="8" l="1"/>
  <c r="AD85" i="8" s="1"/>
  <c r="AD99" i="8" s="1"/>
  <c r="AB50" i="8"/>
  <c r="AB59" i="8" s="1"/>
  <c r="AA80" i="8"/>
  <c r="AA66" i="8"/>
  <c r="AA68" i="8" s="1"/>
  <c r="AA75" i="8" s="1"/>
  <c r="AA79" i="8"/>
  <c r="AH67" i="8"/>
  <c r="AG76" i="8"/>
  <c r="T71" i="8"/>
  <c r="T78" i="8" s="1"/>
  <c r="T83" i="8" s="1"/>
  <c r="AJ139" i="8"/>
  <c r="AI48" i="8" s="1"/>
  <c r="V82" i="8"/>
  <c r="V56" i="8"/>
  <c r="V69" i="8" s="1"/>
  <c r="AE47" i="8"/>
  <c r="AF58" i="8"/>
  <c r="AE52" i="8"/>
  <c r="AE74" i="8"/>
  <c r="S86" i="8"/>
  <c r="S87" i="8" s="1"/>
  <c r="S90" i="8" s="1"/>
  <c r="S84" i="8"/>
  <c r="S89" i="8" s="1"/>
  <c r="S88" i="8"/>
  <c r="AF143" i="8"/>
  <c r="AF144" i="8"/>
  <c r="AD108" i="8"/>
  <c r="AE111" i="8"/>
  <c r="U77" i="8"/>
  <c r="U70" i="8"/>
  <c r="W53" i="8"/>
  <c r="AF140" i="8"/>
  <c r="AE49" i="8" s="1"/>
  <c r="S72" i="8"/>
  <c r="AE73" i="8" l="1"/>
  <c r="AE85" i="8" s="1"/>
  <c r="AE99" i="8" s="1"/>
  <c r="AC50" i="8"/>
  <c r="AC59" i="8" s="1"/>
  <c r="AB80" i="8"/>
  <c r="AB79" i="8"/>
  <c r="AB66" i="8"/>
  <c r="AB68" i="8" s="1"/>
  <c r="AB75" i="8" s="1"/>
  <c r="AE108" i="8"/>
  <c r="AF111" i="8"/>
  <c r="AG140" i="8"/>
  <c r="AF49" i="8" s="1"/>
  <c r="T86" i="8"/>
  <c r="T87" i="8" s="1"/>
  <c r="T90" i="8" s="1"/>
  <c r="T88" i="8"/>
  <c r="T84" i="8"/>
  <c r="T89" i="8" s="1"/>
  <c r="W55" i="8"/>
  <c r="U71" i="8"/>
  <c r="U78" i="8" s="1"/>
  <c r="U83" i="8" s="1"/>
  <c r="AG143" i="8"/>
  <c r="AG144" i="8"/>
  <c r="AK139" i="8"/>
  <c r="AJ48" i="8" s="1"/>
  <c r="V77" i="8"/>
  <c r="V70" i="8"/>
  <c r="T72" i="8"/>
  <c r="AF74" i="8"/>
  <c r="AF52" i="8"/>
  <c r="AF47" i="8"/>
  <c r="AF61" i="8" s="1"/>
  <c r="AF60" i="8" s="1"/>
  <c r="AG58" i="8"/>
  <c r="AI67" i="8"/>
  <c r="AH76" i="8"/>
  <c r="AF73" i="8" l="1"/>
  <c r="AF85" i="8" s="1"/>
  <c r="AF99" i="8" s="1"/>
  <c r="AD50" i="8"/>
  <c r="AD59" i="8" s="1"/>
  <c r="AC66" i="8"/>
  <c r="AC68" i="8" s="1"/>
  <c r="AC75" i="8" s="1"/>
  <c r="AC79" i="8"/>
  <c r="AC80" i="8"/>
  <c r="U86" i="8"/>
  <c r="U87" i="8" s="1"/>
  <c r="U90" i="8" s="1"/>
  <c r="U88" i="8"/>
  <c r="U84" i="8"/>
  <c r="U89" i="8" s="1"/>
  <c r="V71" i="8"/>
  <c r="V78" i="8" s="1"/>
  <c r="AG52" i="8"/>
  <c r="AG47" i="8"/>
  <c r="AG74" i="8"/>
  <c r="AH58" i="8"/>
  <c r="AL139" i="8"/>
  <c r="AK48" i="8" s="1"/>
  <c r="W82" i="8"/>
  <c r="W56" i="8"/>
  <c r="W69" i="8" s="1"/>
  <c r="X53" i="8"/>
  <c r="AJ67" i="8"/>
  <c r="AI76" i="8"/>
  <c r="V83" i="8"/>
  <c r="AH143" i="8"/>
  <c r="AH144" i="8"/>
  <c r="U72" i="8"/>
  <c r="AH140" i="8"/>
  <c r="AG49" i="8" s="1"/>
  <c r="AF108" i="8"/>
  <c r="AG111" i="8"/>
  <c r="AG73" i="8" l="1"/>
  <c r="AG85" i="8" s="1"/>
  <c r="AG99" i="8" s="1"/>
  <c r="AE50" i="8"/>
  <c r="AE59" i="8" s="1"/>
  <c r="AD80" i="8"/>
  <c r="AD66" i="8"/>
  <c r="AD68" i="8" s="1"/>
  <c r="AD75" i="8" s="1"/>
  <c r="AD79" i="8"/>
  <c r="W77" i="8"/>
  <c r="W70" i="8"/>
  <c r="AM139" i="8"/>
  <c r="AL48" i="8" s="1"/>
  <c r="AH52" i="8"/>
  <c r="AH47" i="8"/>
  <c r="AH74" i="8"/>
  <c r="AI58" i="8"/>
  <c r="AI140" i="8"/>
  <c r="AH49" i="8" s="1"/>
  <c r="AI143" i="8"/>
  <c r="AI144" i="8"/>
  <c r="X55" i="8"/>
  <c r="Y53" i="8"/>
  <c r="V72" i="8"/>
  <c r="AG108" i="8"/>
  <c r="AH111" i="8"/>
  <c r="V86" i="8"/>
  <c r="V87" i="8" s="1"/>
  <c r="V90" i="8" s="1"/>
  <c r="V84" i="8"/>
  <c r="V89" i="8" s="1"/>
  <c r="V88" i="8"/>
  <c r="AK67" i="8"/>
  <c r="AJ76" i="8"/>
  <c r="AF50" i="8" l="1"/>
  <c r="AF59" i="8" s="1"/>
  <c r="AH73" i="8"/>
  <c r="AH85" i="8" s="1"/>
  <c r="AH99" i="8" s="1"/>
  <c r="AE79" i="8"/>
  <c r="AE66" i="8"/>
  <c r="AE68" i="8" s="1"/>
  <c r="AE75" i="8" s="1"/>
  <c r="AE80" i="8"/>
  <c r="Y55" i="8"/>
  <c r="Z53" i="8" s="1"/>
  <c r="AH108" i="8"/>
  <c r="AI111" i="8"/>
  <c r="AL67" i="8"/>
  <c r="AK76" i="8"/>
  <c r="X56" i="8"/>
  <c r="X69" i="8" s="1"/>
  <c r="X82" i="8"/>
  <c r="AJ143" i="8"/>
  <c r="AJ144" i="8"/>
  <c r="AJ140" i="8"/>
  <c r="AI49" i="8" s="1"/>
  <c r="AJ58" i="8"/>
  <c r="AI74" i="8"/>
  <c r="AI52" i="8"/>
  <c r="AI47" i="8"/>
  <c r="AN139" i="8"/>
  <c r="AM48" i="8" s="1"/>
  <c r="W71" i="8"/>
  <c r="W78" i="8" s="1"/>
  <c r="W83" i="8" s="1"/>
  <c r="AI73" i="8" l="1"/>
  <c r="AI85" i="8" s="1"/>
  <c r="AI99" i="8" s="1"/>
  <c r="AF79" i="8"/>
  <c r="AF66" i="8"/>
  <c r="AF68" i="8" s="1"/>
  <c r="AF75" i="8" s="1"/>
  <c r="AF80" i="8"/>
  <c r="AG50" i="8"/>
  <c r="AG59" i="8" s="1"/>
  <c r="W86" i="8"/>
  <c r="W87" i="8" s="1"/>
  <c r="W90" i="8" s="1"/>
  <c r="W88" i="8"/>
  <c r="W84" i="8"/>
  <c r="W89" i="8" s="1"/>
  <c r="Z55" i="8"/>
  <c r="AA53" i="8"/>
  <c r="AK140" i="8"/>
  <c r="AJ49" i="8" s="1"/>
  <c r="W72" i="8"/>
  <c r="AO139" i="8"/>
  <c r="AN48" i="8" s="1"/>
  <c r="AJ52" i="8"/>
  <c r="AK58" i="8"/>
  <c r="AJ47" i="8"/>
  <c r="AJ74" i="8"/>
  <c r="AK143" i="8"/>
  <c r="AK144" i="8" s="1"/>
  <c r="X77" i="8"/>
  <c r="X70" i="8"/>
  <c r="AM67" i="8"/>
  <c r="AL76" i="8"/>
  <c r="AI108" i="8"/>
  <c r="AJ111" i="8"/>
  <c r="Y82" i="8"/>
  <c r="Y56" i="8"/>
  <c r="Y69" i="8" s="1"/>
  <c r="AJ73" i="8" l="1"/>
  <c r="AJ85" i="8" s="1"/>
  <c r="AJ99" i="8" s="1"/>
  <c r="AG66" i="8"/>
  <c r="AG68" i="8" s="1"/>
  <c r="AG75" i="8" s="1"/>
  <c r="AG80" i="8"/>
  <c r="AG79" i="8"/>
  <c r="AH50" i="8"/>
  <c r="AH59" i="8" s="1"/>
  <c r="AJ108" i="8"/>
  <c r="AK111" i="8"/>
  <c r="AN67" i="8"/>
  <c r="AM76" i="8"/>
  <c r="X71" i="8"/>
  <c r="X78" i="8" s="1"/>
  <c r="X83" i="8" s="1"/>
  <c r="AL143" i="8"/>
  <c r="AK47" i="8"/>
  <c r="AK52" i="8"/>
  <c r="AK74" i="8"/>
  <c r="AL58" i="8"/>
  <c r="AP139" i="8"/>
  <c r="AO48" i="8" s="1"/>
  <c r="AL140" i="8"/>
  <c r="AK49" i="8" s="1"/>
  <c r="Y77" i="8"/>
  <c r="Y70" i="8"/>
  <c r="AA55" i="8"/>
  <c r="AB53" i="8"/>
  <c r="Z56" i="8"/>
  <c r="Z69" i="8" s="1"/>
  <c r="Z82" i="8"/>
  <c r="AH79" i="8" l="1"/>
  <c r="AH66" i="8"/>
  <c r="AH68" i="8" s="1"/>
  <c r="AH75" i="8" s="1"/>
  <c r="AH80" i="8"/>
  <c r="AI50" i="8"/>
  <c r="AI59" i="8" s="1"/>
  <c r="Z77" i="8"/>
  <c r="Z70" i="8"/>
  <c r="AC53" i="8"/>
  <c r="AB55" i="8"/>
  <c r="AA56" i="8"/>
  <c r="AA69" i="8" s="1"/>
  <c r="AA82" i="8"/>
  <c r="Y71" i="8"/>
  <c r="Y78" i="8" s="1"/>
  <c r="Y83" i="8" s="1"/>
  <c r="AM140" i="8"/>
  <c r="AL49" i="8" s="1"/>
  <c r="AQ139" i="8"/>
  <c r="AL52" i="8"/>
  <c r="AL47" i="8"/>
  <c r="AL61" i="8" s="1"/>
  <c r="AL60" i="8" s="1"/>
  <c r="AL74" i="8"/>
  <c r="AM58" i="8"/>
  <c r="AM143" i="8"/>
  <c r="AM144" i="8" s="1"/>
  <c r="AL144" i="8"/>
  <c r="X86" i="8"/>
  <c r="X87" i="8" s="1"/>
  <c r="X90" i="8" s="1"/>
  <c r="X88" i="8"/>
  <c r="X84" i="8"/>
  <c r="X89" i="8" s="1"/>
  <c r="X72" i="8"/>
  <c r="AO67" i="8"/>
  <c r="AN76" i="8"/>
  <c r="AK108" i="8"/>
  <c r="AL111" i="8"/>
  <c r="AK85" i="8" l="1"/>
  <c r="AK99" i="8" s="1"/>
  <c r="AK73" i="8"/>
  <c r="AJ50" i="8"/>
  <c r="AJ59" i="8" s="1"/>
  <c r="AL73" i="8"/>
  <c r="AL85" i="8" s="1"/>
  <c r="AL99" i="8" s="1"/>
  <c r="AR139" i="8"/>
  <c r="AP48" i="8"/>
  <c r="AI79" i="8"/>
  <c r="AI66" i="8"/>
  <c r="AI68" i="8" s="1"/>
  <c r="AI75" i="8" s="1"/>
  <c r="AI80" i="8"/>
  <c r="Y72" i="8"/>
  <c r="AN140" i="8"/>
  <c r="AM49" i="8" s="1"/>
  <c r="AP67" i="8"/>
  <c r="AO76" i="8"/>
  <c r="Y86" i="8"/>
  <c r="Y87" i="8" s="1"/>
  <c r="Y90" i="8" s="1"/>
  <c r="Y88" i="8"/>
  <c r="Y84" i="8"/>
  <c r="Y89" i="8" s="1"/>
  <c r="AA77" i="8"/>
  <c r="AA70" i="8"/>
  <c r="AM47" i="8"/>
  <c r="AM52" i="8"/>
  <c r="AM74" i="8"/>
  <c r="AN58" i="8"/>
  <c r="AB82" i="8"/>
  <c r="AB56" i="8"/>
  <c r="AB69" i="8" s="1"/>
  <c r="AL108" i="8"/>
  <c r="AM111" i="8"/>
  <c r="AN143" i="8"/>
  <c r="AC55" i="8"/>
  <c r="Z71" i="8"/>
  <c r="Z78" i="8" s="1"/>
  <c r="Z83" i="8" s="1"/>
  <c r="AK50" i="8" l="1"/>
  <c r="AK59" i="8" s="1"/>
  <c r="AS139" i="8"/>
  <c r="AQ48" i="8"/>
  <c r="AJ66" i="8"/>
  <c r="AJ68" i="8" s="1"/>
  <c r="AJ75" i="8" s="1"/>
  <c r="AJ80" i="8"/>
  <c r="AJ79" i="8"/>
  <c r="Z86" i="8"/>
  <c r="Z87" i="8" s="1"/>
  <c r="Z90" i="8" s="1"/>
  <c r="Z84" i="8"/>
  <c r="Z89" i="8" s="1"/>
  <c r="Z88" i="8"/>
  <c r="AM108" i="8"/>
  <c r="AN111" i="8"/>
  <c r="AO143" i="8"/>
  <c r="AC82" i="8"/>
  <c r="AC56" i="8"/>
  <c r="AC69" i="8" s="1"/>
  <c r="AB77" i="8"/>
  <c r="AB70" i="8"/>
  <c r="AP76" i="8"/>
  <c r="AS67" i="8"/>
  <c r="AO140" i="8"/>
  <c r="AN49" i="8" s="1"/>
  <c r="Z72" i="8"/>
  <c r="AN144" i="8"/>
  <c r="AA71" i="8"/>
  <c r="AA78" i="8" s="1"/>
  <c r="AA83" i="8" s="1"/>
  <c r="AD53" i="8"/>
  <c r="AN52" i="8"/>
  <c r="AO58" i="8"/>
  <c r="AN47" i="8"/>
  <c r="AN74" i="8"/>
  <c r="AM73" i="8" l="1"/>
  <c r="AM85" i="8" s="1"/>
  <c r="AM99" i="8" s="1"/>
  <c r="AL50" i="8"/>
  <c r="AL59" i="8" s="1"/>
  <c r="AT139" i="8"/>
  <c r="AU139" i="8" s="1"/>
  <c r="AV139" i="8" s="1"/>
  <c r="AW139" i="8" s="1"/>
  <c r="AX139" i="8" s="1"/>
  <c r="AY139" i="8" s="1"/>
  <c r="AR48" i="8"/>
  <c r="AK79" i="8"/>
  <c r="AK80" i="8"/>
  <c r="AK66" i="8"/>
  <c r="AK68" i="8" s="1"/>
  <c r="AK75" i="8" s="1"/>
  <c r="AA86" i="8"/>
  <c r="AA87" i="8" s="1"/>
  <c r="AA90" i="8" s="1"/>
  <c r="AA88" i="8"/>
  <c r="AA84" i="8"/>
  <c r="AA89" i="8" s="1"/>
  <c r="AP140" i="8"/>
  <c r="AO49" i="8" s="1"/>
  <c r="AB71" i="8"/>
  <c r="AB78" i="8" s="1"/>
  <c r="AB72" i="8"/>
  <c r="AP143" i="8"/>
  <c r="AP144" i="8" s="1"/>
  <c r="AO52" i="8"/>
  <c r="AO74" i="8"/>
  <c r="AP58" i="8"/>
  <c r="AO47" i="8"/>
  <c r="AC77" i="8"/>
  <c r="AC70" i="8"/>
  <c r="AD55" i="8"/>
  <c r="AE53" i="8" s="1"/>
  <c r="AA72" i="8"/>
  <c r="AB83" i="8"/>
  <c r="AO144" i="8"/>
  <c r="AO111" i="8"/>
  <c r="AN108" i="8"/>
  <c r="AM50" i="8" l="1"/>
  <c r="AM59" i="8" s="1"/>
  <c r="AN73" i="8"/>
  <c r="AN85" i="8" s="1"/>
  <c r="AN99" i="8" s="1"/>
  <c r="AO73" i="8"/>
  <c r="AO85" i="8" s="1"/>
  <c r="AO99" i="8" s="1"/>
  <c r="AL66" i="8"/>
  <c r="AL68" i="8" s="1"/>
  <c r="AL75" i="8" s="1"/>
  <c r="AL80" i="8"/>
  <c r="AL79" i="8"/>
  <c r="AE55" i="8"/>
  <c r="AF53" i="8" s="1"/>
  <c r="AO108" i="8"/>
  <c r="AP111" i="8"/>
  <c r="AP108" i="8" s="1"/>
  <c r="AO50" i="8" s="1"/>
  <c r="AB86" i="8"/>
  <c r="AB87" i="8" s="1"/>
  <c r="AB90" i="8" s="1"/>
  <c r="AB84" i="8"/>
  <c r="AB89" i="8" s="1"/>
  <c r="AB88" i="8"/>
  <c r="AD82" i="8"/>
  <c r="AD56" i="8"/>
  <c r="AD69" i="8" s="1"/>
  <c r="AC71" i="8"/>
  <c r="AC78" i="8" s="1"/>
  <c r="AC83" i="8" s="1"/>
  <c r="AP52" i="8"/>
  <c r="AP74" i="8"/>
  <c r="AP47" i="8"/>
  <c r="AQ143" i="8"/>
  <c r="AQ144" i="8" s="1"/>
  <c r="AQ140" i="8"/>
  <c r="AR140" i="8" l="1"/>
  <c r="AP49" i="8"/>
  <c r="AP50" i="8" s="1"/>
  <c r="AP73" i="8"/>
  <c r="AP85" i="8" s="1"/>
  <c r="AP99" i="8" s="1"/>
  <c r="AQ99" i="8" s="1"/>
  <c r="A100" i="8" s="1"/>
  <c r="AO59" i="8"/>
  <c r="AN50" i="8"/>
  <c r="AN59" i="8" s="1"/>
  <c r="AM66" i="8"/>
  <c r="AM68" i="8" s="1"/>
  <c r="AM75" i="8" s="1"/>
  <c r="AM79" i="8"/>
  <c r="AM80" i="8"/>
  <c r="AC86" i="8"/>
  <c r="AC87" i="8" s="1"/>
  <c r="AC90" i="8" s="1"/>
  <c r="AC84" i="8"/>
  <c r="AC89" i="8" s="1"/>
  <c r="AC88" i="8"/>
  <c r="AF55" i="8"/>
  <c r="AD77" i="8"/>
  <c r="AD70" i="8"/>
  <c r="AP59" i="8"/>
  <c r="AR143" i="8"/>
  <c r="AR144" i="8" s="1"/>
  <c r="AQ73" i="8" s="1"/>
  <c r="AC72" i="8"/>
  <c r="AO66" i="8"/>
  <c r="AO68" i="8" s="1"/>
  <c r="AO80" i="8"/>
  <c r="AE82" i="8"/>
  <c r="AE56" i="8"/>
  <c r="AE69" i="8" s="1"/>
  <c r="AN66" i="8" l="1"/>
  <c r="AN68" i="8" s="1"/>
  <c r="AN75" i="8" s="1"/>
  <c r="AN80" i="8"/>
  <c r="AN79" i="8"/>
  <c r="AO79" i="8" s="1"/>
  <c r="AS140" i="8"/>
  <c r="AQ49" i="8"/>
  <c r="AQ50" i="8" s="1"/>
  <c r="AE77" i="8"/>
  <c r="AE70" i="8"/>
  <c r="AO75" i="8"/>
  <c r="AS143" i="8"/>
  <c r="AS144" i="8" s="1"/>
  <c r="AR73" i="8" s="1"/>
  <c r="AP66" i="8"/>
  <c r="AP68" i="8" s="1"/>
  <c r="AP80" i="8"/>
  <c r="AP79" i="8"/>
  <c r="AD71" i="8"/>
  <c r="AD78" i="8" s="1"/>
  <c r="AD83" i="8" s="1"/>
  <c r="AD72" i="8"/>
  <c r="AF82" i="8"/>
  <c r="AF56" i="8"/>
  <c r="AF69" i="8" s="1"/>
  <c r="AG53" i="8"/>
  <c r="AT140" i="8" l="1"/>
  <c r="AU140" i="8" s="1"/>
  <c r="AV140" i="8" s="1"/>
  <c r="AW140" i="8" s="1"/>
  <c r="AX140" i="8" s="1"/>
  <c r="AY140" i="8" s="1"/>
  <c r="AR49" i="8"/>
  <c r="AR50" i="8" s="1"/>
  <c r="AD86" i="8"/>
  <c r="AD87" i="8" s="1"/>
  <c r="AD90" i="8" s="1"/>
  <c r="AD84" i="8"/>
  <c r="AD89" i="8" s="1"/>
  <c r="AD88" i="8"/>
  <c r="AP75" i="8"/>
  <c r="AF77" i="8"/>
  <c r="AF70" i="8"/>
  <c r="AT143" i="8"/>
  <c r="AT144" i="8" s="1"/>
  <c r="AS73" i="8" s="1"/>
  <c r="AG55" i="8"/>
  <c r="AH53" i="8"/>
  <c r="AE71" i="8"/>
  <c r="AE78" i="8" s="1"/>
  <c r="AE83" i="8" s="1"/>
  <c r="AE72" i="8"/>
  <c r="AE86" i="8" l="1"/>
  <c r="AE87" i="8" s="1"/>
  <c r="AE90" i="8" s="1"/>
  <c r="AE84" i="8"/>
  <c r="AE89" i="8" s="1"/>
  <c r="AE88" i="8"/>
  <c r="AG56" i="8"/>
  <c r="AG69" i="8" s="1"/>
  <c r="AG82" i="8"/>
  <c r="AF71" i="8"/>
  <c r="AF78" i="8" s="1"/>
  <c r="AF83" i="8" s="1"/>
  <c r="AH55" i="8"/>
  <c r="AU143" i="8"/>
  <c r="AU144" i="8" s="1"/>
  <c r="AF72" i="8" l="1"/>
  <c r="AF86" i="8"/>
  <c r="AF87" i="8" s="1"/>
  <c r="AF90" i="8" s="1"/>
  <c r="AF84" i="8"/>
  <c r="AF89" i="8" s="1"/>
  <c r="AF88" i="8"/>
  <c r="AH82" i="8"/>
  <c r="AH56" i="8"/>
  <c r="AH69" i="8" s="1"/>
  <c r="AV143" i="8"/>
  <c r="AI53" i="8"/>
  <c r="AG77" i="8"/>
  <c r="AG70" i="8"/>
  <c r="AW143" i="8" l="1"/>
  <c r="AG71" i="8"/>
  <c r="AG78" i="8" s="1"/>
  <c r="AG83" i="8" s="1"/>
  <c r="AG72" i="8"/>
  <c r="AI55" i="8"/>
  <c r="AJ53" i="8"/>
  <c r="AV144" i="8"/>
  <c r="AH77" i="8"/>
  <c r="AH70" i="8"/>
  <c r="AG86" i="8" l="1"/>
  <c r="AG87" i="8" s="1"/>
  <c r="AG90" i="8" s="1"/>
  <c r="AG88" i="8"/>
  <c r="AG84" i="8"/>
  <c r="AG89" i="8" s="1"/>
  <c r="AH71" i="8"/>
  <c r="AH78" i="8" s="1"/>
  <c r="AH83" i="8" s="1"/>
  <c r="AJ55" i="8"/>
  <c r="AK53" i="8"/>
  <c r="AI56" i="8"/>
  <c r="AI69" i="8" s="1"/>
  <c r="AI82" i="8"/>
  <c r="AX143" i="8"/>
  <c r="AW144" i="8"/>
  <c r="AH86" i="8" l="1"/>
  <c r="AH87" i="8" s="1"/>
  <c r="AH90" i="8" s="1"/>
  <c r="AH84" i="8"/>
  <c r="AH89" i="8" s="1"/>
  <c r="AH88" i="8"/>
  <c r="AI77" i="8"/>
  <c r="AI70" i="8"/>
  <c r="AY143" i="8"/>
  <c r="AY144" i="8" s="1"/>
  <c r="AX144" i="8"/>
  <c r="AK55" i="8"/>
  <c r="AL53" i="8"/>
  <c r="AJ82" i="8"/>
  <c r="AJ56" i="8"/>
  <c r="AJ69" i="8" s="1"/>
  <c r="AH72" i="8"/>
  <c r="AL55" i="8" l="1"/>
  <c r="AM53" i="8"/>
  <c r="AJ77" i="8"/>
  <c r="AJ70" i="8"/>
  <c r="AK82" i="8"/>
  <c r="AK56" i="8"/>
  <c r="AK69" i="8" s="1"/>
  <c r="AI71" i="8"/>
  <c r="AI78" i="8" s="1"/>
  <c r="AI83" i="8" s="1"/>
  <c r="AI86" i="8" l="1"/>
  <c r="AI87" i="8" s="1"/>
  <c r="AI90" i="8" s="1"/>
  <c r="AI88" i="8"/>
  <c r="AI84" i="8"/>
  <c r="AI89" i="8" s="1"/>
  <c r="AI72" i="8"/>
  <c r="AK77" i="8"/>
  <c r="AK70" i="8"/>
  <c r="AJ71" i="8"/>
  <c r="AJ78" i="8" s="1"/>
  <c r="AJ83" i="8" s="1"/>
  <c r="AM55" i="8"/>
  <c r="AN53" i="8"/>
  <c r="AL82" i="8"/>
  <c r="AL56" i="8"/>
  <c r="AL69" i="8" s="1"/>
  <c r="AJ86" i="8" l="1"/>
  <c r="AJ87" i="8" s="1"/>
  <c r="AJ90" i="8" s="1"/>
  <c r="AJ84" i="8"/>
  <c r="AJ89" i="8" s="1"/>
  <c r="AJ88" i="8"/>
  <c r="AL77" i="8"/>
  <c r="AL70" i="8"/>
  <c r="AM82" i="8"/>
  <c r="AM56" i="8"/>
  <c r="AM69" i="8" s="1"/>
  <c r="AJ72" i="8"/>
  <c r="AN55" i="8"/>
  <c r="AK71" i="8"/>
  <c r="AK78" i="8" s="1"/>
  <c r="AK83" i="8" s="1"/>
  <c r="AK72" i="8" l="1"/>
  <c r="AK86" i="8"/>
  <c r="AK87" i="8" s="1"/>
  <c r="AK90" i="8" s="1"/>
  <c r="AK84" i="8"/>
  <c r="AK89" i="8" s="1"/>
  <c r="AK88" i="8"/>
  <c r="AN82" i="8"/>
  <c r="AN56" i="8"/>
  <c r="AN69" i="8" s="1"/>
  <c r="AL71" i="8"/>
  <c r="AL78" i="8" s="1"/>
  <c r="AL83" i="8" s="1"/>
  <c r="AO53" i="8"/>
  <c r="AM77" i="8"/>
  <c r="AM70" i="8"/>
  <c r="AL72" i="8" l="1"/>
  <c r="AL86" i="8"/>
  <c r="AL87" i="8" s="1"/>
  <c r="AL90" i="8" s="1"/>
  <c r="AL84" i="8"/>
  <c r="AL89" i="8" s="1"/>
  <c r="AL88" i="8"/>
  <c r="AM71" i="8"/>
  <c r="AM78" i="8" s="1"/>
  <c r="AM83" i="8" s="1"/>
  <c r="AO55" i="8"/>
  <c r="AP53" i="8"/>
  <c r="AP55" i="8" s="1"/>
  <c r="AN77" i="8"/>
  <c r="AN70" i="8"/>
  <c r="AM86" i="8" l="1"/>
  <c r="AM87" i="8" s="1"/>
  <c r="AM90" i="8" s="1"/>
  <c r="AM88" i="8"/>
  <c r="AM84" i="8"/>
  <c r="AM89" i="8" s="1"/>
  <c r="AN71" i="8"/>
  <c r="AN78" i="8" s="1"/>
  <c r="AN83" i="8" s="1"/>
  <c r="AP82" i="8"/>
  <c r="AP56" i="8"/>
  <c r="AP69" i="8" s="1"/>
  <c r="AM72" i="8"/>
  <c r="AO56" i="8"/>
  <c r="AO69" i="8" s="1"/>
  <c r="AO82" i="8"/>
  <c r="AN72" i="8" l="1"/>
  <c r="AO77" i="8"/>
  <c r="AO70" i="8"/>
  <c r="AN86" i="8"/>
  <c r="AN87" i="8" s="1"/>
  <c r="AN90" i="8" s="1"/>
  <c r="AN84" i="8"/>
  <c r="AN89" i="8" s="1"/>
  <c r="AN88" i="8"/>
  <c r="AP77" i="8"/>
  <c r="AP70" i="8"/>
  <c r="AP71" i="8" l="1"/>
  <c r="AO71" i="8"/>
  <c r="AO78" i="8" s="1"/>
  <c r="AO83" i="8" s="1"/>
  <c r="AO72" i="8"/>
  <c r="AO86" i="8" l="1"/>
  <c r="AO87" i="8" s="1"/>
  <c r="AO90" i="8" s="1"/>
  <c r="AO84" i="8"/>
  <c r="AO89" i="8" s="1"/>
  <c r="AO88" i="8"/>
  <c r="AP78" i="8"/>
  <c r="AP83" i="8" s="1"/>
  <c r="AP72" i="8"/>
  <c r="AP86" i="8" l="1"/>
  <c r="AP87" i="8" s="1"/>
  <c r="AP88" i="8"/>
  <c r="AP84" i="8"/>
  <c r="AP89" i="8" s="1"/>
  <c r="AP90" i="8" l="1"/>
  <c r="A101" i="8"/>
  <c r="B102" i="8" s="1"/>
</calcChain>
</file>

<file path=xl/sharedStrings.xml><?xml version="1.0" encoding="utf-8"?>
<sst xmlns="http://schemas.openxmlformats.org/spreadsheetml/2006/main" count="1160" uniqueCount="638">
  <si>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</si>
  <si>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</si>
  <si>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</si>
  <si>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</si>
  <si>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</si>
  <si>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</si>
  <si>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</si>
  <si>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N_22-1313</t>
  </si>
  <si>
    <t xml:space="preserve">         (идентификатор инвестиционного проекта)</t>
  </si>
  <si>
    <t>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</si>
  <si>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</si>
  <si>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</si>
  <si>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</si>
  <si>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</si>
  <si>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</si>
  <si>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</si>
  <si>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</si>
  <si>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Прочее новое строительство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</si>
  <si>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</si>
  <si>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</si>
  <si>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</si>
  <si>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</si>
  <si>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</si>
  <si>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</si>
  <si>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</si>
  <si>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</si>
  <si>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</si>
  <si>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</si>
  <si>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</si>
  <si>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</si>
  <si>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</si>
  <si>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</si>
  <si>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</si>
  <si>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</si>
  <si>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</si>
  <si>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</si>
  <si>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</si>
  <si>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</si>
  <si>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</si>
  <si>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</si>
  <si>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</si>
  <si>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</si>
  <si>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</si>
  <si>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</si>
  <si>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</si>
  <si>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</si>
  <si>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</si>
  <si>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</si>
  <si>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</si>
  <si>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</si>
  <si>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</si>
  <si>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</si>
  <si>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</si>
  <si>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</si>
  <si>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</si>
  <si>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</si>
  <si>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</si>
  <si>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</si>
  <si>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 xml:space="preserve"> ∆P</t>
    </r>
    <r>
      <rPr>
        <vertAlign val="superscript"/>
        <sz val="11"/>
        <color theme="1"/>
        <rFont val="Calibri"/>
        <family val="2"/>
        <charset val="204"/>
        <scheme val="minor"/>
      </rPr>
      <t>15</t>
    </r>
    <r>
      <rPr>
        <sz val="11"/>
        <color theme="1"/>
        <rFont val="Calibri"/>
        <family val="2"/>
        <charset val="204"/>
        <scheme val="minor"/>
      </rPr>
      <t>тр=0,55 МВА, ∆L</t>
    </r>
    <r>
      <rPr>
        <vertAlign val="superscript"/>
        <sz val="11"/>
        <color theme="1"/>
        <rFont val="Calibri"/>
        <family val="2"/>
        <charset val="204"/>
        <scheme val="minor"/>
      </rPr>
      <t>15</t>
    </r>
    <r>
      <rPr>
        <sz val="11"/>
        <color theme="1"/>
        <rFont val="Calibri"/>
        <family val="2"/>
        <charset val="204"/>
        <scheme val="minor"/>
      </rPr>
      <t>лэп=0,296 км, ∆L</t>
    </r>
    <r>
      <rPr>
        <vertAlign val="superscript"/>
        <sz val="11"/>
        <color theme="1"/>
        <rFont val="Calibri"/>
        <family val="2"/>
        <charset val="204"/>
        <scheme val="minor"/>
      </rPr>
      <t>0,4</t>
    </r>
    <r>
      <rPr>
        <sz val="11"/>
        <color theme="1"/>
        <rFont val="Calibri"/>
        <family val="2"/>
        <charset val="204"/>
        <scheme val="minor"/>
      </rPr>
      <t>лэп=-0,586 км</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</si>
  <si>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</si>
  <si>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</si>
  <si>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</si>
  <si>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</si>
  <si>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</si>
  <si>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</si>
  <si>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</si>
  <si>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</si>
  <si>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</si>
  <si>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</si>
  <si>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</si>
  <si>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</si>
  <si>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</si>
  <si>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0,144875 МВт от 10.01.2022 г. - для ТП 025-08                                              </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</si>
  <si>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</si>
  <si>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</si>
  <si>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</si>
  <si>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</si>
  <si>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</si>
  <si>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</si>
  <si>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</si>
  <si>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</si>
  <si>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</si>
  <si>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</si>
  <si>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</si>
  <si>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</si>
  <si>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</si>
  <si>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</si>
  <si>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</si>
  <si>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</si>
  <si>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</si>
  <si>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</si>
  <si>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</si>
  <si>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</si>
  <si>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</si>
  <si>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</si>
  <si>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</si>
  <si>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</si>
  <si>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</si>
  <si>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</si>
  <si>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</si>
  <si>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</si>
  <si>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</si>
  <si>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</si>
  <si>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</si>
  <si>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</si>
  <si>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</si>
  <si>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</si>
  <si>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</si>
  <si>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</si>
  <si>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</si>
  <si>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</si>
  <si>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</si>
  <si>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</si>
  <si>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</si>
  <si>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</si>
  <si>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</si>
  <si>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</si>
  <si>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МТП 15/0,4 кВ 025-08</t>
  </si>
  <si>
    <t>МТП 15/0,4 кВ 025-08 новая</t>
  </si>
  <si>
    <t>трансформатор силовой масляный</t>
  </si>
  <si>
    <t>3Т</t>
  </si>
  <si>
    <t>ТМГ</t>
  </si>
  <si>
    <t>Т-1</t>
  </si>
  <si>
    <t>2022</t>
  </si>
  <si>
    <t>2017</t>
  </si>
  <si>
    <t>В целом исправно и соответствует требованиям НТД</t>
  </si>
  <si>
    <t>Акт обследования ТП 025-08 от 16.08.2022</t>
  </si>
  <si>
    <t>Требуется строительство новой ТП 15/0,4 кВ взамен существующей ТП 025-08</t>
  </si>
  <si>
    <t>БКТП 15/0,4 кВ новая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</si>
  <si>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</si>
  <si>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</si>
  <si>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</si>
  <si>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</si>
  <si>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</si>
  <si>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</si>
  <si>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</si>
  <si>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</si>
  <si>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</si>
  <si>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</si>
  <si>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</si>
  <si>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</si>
  <si>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 _____ 201_ г. №___</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</si>
  <si>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</si>
  <si>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</si>
  <si>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</si>
  <si>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</si>
  <si>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</si>
  <si>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</si>
  <si>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</si>
  <si>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</si>
  <si>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</si>
  <si>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</si>
  <si>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</si>
  <si>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</si>
  <si>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</si>
  <si>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</si>
  <si>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15-025</t>
  </si>
  <si>
    <t>от оп.6 отпайки к ТП 025-03 до БКТП-новой</t>
  </si>
  <si>
    <t>ВЛЗ</t>
  </si>
  <si>
    <t>ж/б</t>
  </si>
  <si>
    <t>ВЛИ 0,4 кВ от БКТП-новой</t>
  </si>
  <si>
    <t xml:space="preserve">от БКТП-новой до оп.35 Л-1 от ТП 025-25 </t>
  </si>
  <si>
    <t>ВЛИ</t>
  </si>
  <si>
    <t>ВЛ 0,4 кВ  Л-1 от ТП 025-25</t>
  </si>
  <si>
    <t>оп.19-20</t>
  </si>
  <si>
    <t>2020 г. ООО "ЭнЭкА"</t>
  </si>
  <si>
    <t>В целом исправно и соответсвует требованиям НТД</t>
  </si>
  <si>
    <t>Акт обсл. ВЛ 0,4 кВ от ТП 046-19 от 16.08.2022</t>
  </si>
  <si>
    <t>Требуется демонтаж  участка ВЛ 0,4 кВ</t>
  </si>
  <si>
    <t xml:space="preserve">ВЛИ 0,4 кВ от ТП 025-08 </t>
  </si>
  <si>
    <t>от ТП 025-08 до оп.33 Л-2 от                         ТП 025-08</t>
  </si>
  <si>
    <t>ВЛ 0,4 кВ
Л-2 от ТП 025-25</t>
  </si>
  <si>
    <t>оп.16-17</t>
  </si>
  <si>
    <t>от ТП 025-08 до оп.33 Л-3 от ТП 025-25</t>
  </si>
  <si>
    <t>ВЛ 0,4 кВ
Л-3 от ТП 025-25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</si>
  <si>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</si>
  <si>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</si>
  <si>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</si>
  <si>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</si>
  <si>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- 1978). Повышение индекса состояния до нормированного значения. 
Уровень напряжения соответсвует требованиям ГОСТ 32144-2013 (220 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</si>
  <si>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</si>
  <si>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</si>
  <si>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ВЛ 15 кВ: 4,27 млн. руб./км; 
ВЛ 0,4 кВ: 2,34 млн. руб./км; 
МТП 15/0,4 кВ - 10,36 млн.руб./МВА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</si>
  <si>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</si>
  <si>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</si>
  <si>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Жалобы жителей п. Рыбное на низкое качество электроэнергии.
Акт обсл. ВЛ 0,4 кВ от ТП 025-25 от 16.08.2022 г. - Большая протяженность ВЛ 0,4 кВ. Нарушение принципа построения сети, путем увеличения протяженности ВЛ 0,4 кВ при подключении новых потребителей. 
Акт обследования ТП 025-08 от 16.08.2022 г. - Износ конструкции ТП; износ разъединителя; износ трансформатора. С учетом данных акта обследования о необходимости замены трансформатора, контрольных замеров от 10.01.2022 и данных о максимальной мощности по документам ТП (0,165 МВт) принято решение об увелечении трансформаторной мощности с 100 до 250 кВА
Требуется разукрупнение сетей путем строительства БКТП 15/0,4 кВ вблизи удаленных потребителей и переподключением на нее участка ВЛ 0,4 кВ Л-2, Л-3 от ТП 025-25. Участок ВЛ 0,4 кВ Л-2 от ТП 025-25 от оп. № 16 до on. № 17 демонтировать. Участок ВЛ 0,4 кВ Л-3 от ТП 025-25 от оп. № 19 до оп. № 20 демонтировать.
Требуется разукрупнение сетей путем строительства МТП 15/0,4 кВ взамен существующей ТП 025-08 и переподключением на нее участка В Л 0,4 кВ Л-1 от ТП 025-25. Участок ВЛ 0,4 кВ Л-1 от ТП 025-25 от оп. № 19 до оп. № 20 демонтировать.
Индекс технического состояния МТП 15/0,4 кВ 025-08 - 57,08; ВЛ 0,4 кВ от ТП 025-25 - 50.</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</si>
  <si>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</si>
  <si>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</si>
  <si>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</si>
  <si>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</si>
  <si>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</si>
  <si>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</si>
  <si>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</si>
  <si>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</si>
  <si>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</si>
  <si>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</si>
  <si>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</si>
  <si>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</si>
  <si>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</si>
  <si>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</si>
  <si>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</si>
  <si>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</si>
  <si>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</si>
  <si>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</si>
  <si>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</si>
  <si>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</si>
  <si>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</si>
  <si>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</si>
  <si>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</si>
  <si>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</si>
  <si>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</si>
  <si>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</si>
  <si>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</si>
  <si>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</si>
  <si>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</si>
  <si>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</si>
  <si>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</si>
  <si>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</si>
  <si>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</si>
  <si>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</si>
  <si>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</si>
  <si>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</si>
  <si>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</si>
  <si>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</si>
  <si>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</si>
  <si>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</si>
  <si>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</si>
  <si>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</si>
  <si>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15-46</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</si>
  <si>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</si>
  <si>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</si>
  <si>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</si>
  <si>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</si>
  <si>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</si>
  <si>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</si>
  <si>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</si>
  <si>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</si>
  <si>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</si>
  <si>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</si>
  <si>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</si>
  <si>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</si>
  <si>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</si>
  <si>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</si>
  <si>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</si>
  <si>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</si>
  <si>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</si>
  <si>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</si>
  <si>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</si>
  <si>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</si>
  <si>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</si>
  <si>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</si>
  <si>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</si>
  <si>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</si>
  <si>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</si>
  <si>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</si>
  <si>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</si>
  <si>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</si>
  <si>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</si>
  <si>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</si>
  <si>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</si>
  <si>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</si>
  <si>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</si>
  <si>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</si>
  <si>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</si>
  <si>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</si>
  <si>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</si>
  <si>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</si>
  <si>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</si>
  <si>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</si>
  <si>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</si>
  <si>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</si>
  <si>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</si>
  <si>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</si>
  <si>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</si>
  <si>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</si>
  <si>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</si>
  <si>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</si>
  <si>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</si>
  <si>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</si>
  <si>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</si>
  <si>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</si>
  <si>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</si>
  <si>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</si>
  <si>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</si>
  <si>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</si>
  <si>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</si>
  <si>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</si>
  <si>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</si>
  <si>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</si>
  <si>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</si>
  <si>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</si>
  <si>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</si>
  <si>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</si>
  <si>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</si>
  <si>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</si>
  <si>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</si>
  <si>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</si>
  <si>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</si>
  <si>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</si>
  <si>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</si>
  <si>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</si>
  <si>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</si>
  <si>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</si>
  <si>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</si>
  <si>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</si>
  <si>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</si>
  <si>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</si>
  <si>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</si>
  <si>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</si>
  <si>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</si>
  <si>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</si>
  <si>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</si>
  <si>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</si>
  <si>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</si>
  <si>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</si>
  <si>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</si>
  <si>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</si>
  <si>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</si>
  <si>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</si>
  <si>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</si>
  <si>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</si>
  <si>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</si>
  <si>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</si>
  <si>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</si>
  <si>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</si>
  <si>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</si>
  <si>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</si>
  <si>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</si>
  <si>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</si>
  <si>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</si>
  <si>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</si>
  <si>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</si>
  <si>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</si>
  <si>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</si>
  <si>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</si>
  <si>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</si>
  <si>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</si>
  <si>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</si>
  <si>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</si>
  <si>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</si>
  <si>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</si>
  <si>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</si>
  <si>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</si>
  <si>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</si>
  <si>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</si>
  <si>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</si>
  <si>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</si>
  <si>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</si>
  <si>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</si>
  <si>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</si>
  <si>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</si>
  <si>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</si>
  <si>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</si>
  <si>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</si>
  <si>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</si>
  <si>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</si>
  <si>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</si>
  <si>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</si>
  <si>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</si>
  <si>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</si>
  <si>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</si>
  <si>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</si>
  <si>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</si>
  <si>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</si>
  <si>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</si>
  <si>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</si>
  <si>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</si>
  <si>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</si>
  <si>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</si>
  <si>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</si>
  <si>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</si>
  <si>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</si>
  <si>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</si>
  <si>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</si>
  <si>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</si>
  <si>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</si>
  <si>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</si>
  <si>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</si>
  <si>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</si>
  <si>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</si>
  <si>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</si>
  <si>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</si>
  <si>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</si>
  <si>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</si>
  <si>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</si>
  <si>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</si>
  <si>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</si>
  <si>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</si>
  <si>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</si>
  <si>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</si>
  <si>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</si>
  <si>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</si>
  <si>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</si>
  <si>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</si>
  <si>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</si>
  <si>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</si>
  <si>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</si>
  <si>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</si>
  <si>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</si>
  <si>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</si>
  <si>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</si>
  <si>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</si>
  <si>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</si>
  <si>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</si>
  <si>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</si>
  <si>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</si>
  <si>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</si>
  <si>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</si>
  <si>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</si>
  <si>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</si>
  <si>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</si>
  <si>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</si>
  <si>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</si>
  <si>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</si>
  <si>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</si>
  <si>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</si>
  <si>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</si>
  <si>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</si>
  <si>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</si>
  <si>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</si>
  <si>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</si>
  <si>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</si>
  <si>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</si>
  <si>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</si>
  <si>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</si>
  <si>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</si>
  <si>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</si>
  <si>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</si>
  <si>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</si>
  <si>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</si>
  <si>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</si>
  <si>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</si>
  <si>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</si>
  <si>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</si>
  <si>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</si>
  <si>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</si>
  <si>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</si>
  <si>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</si>
  <si>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</si>
  <si>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</si>
  <si>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</si>
  <si>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</si>
  <si>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</si>
  <si>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</si>
  <si>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</si>
  <si>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</si>
  <si>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</si>
  <si>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</si>
  <si>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</si>
  <si>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</si>
  <si>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</si>
  <si>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</si>
  <si>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</si>
  <si>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</si>
  <si>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</si>
  <si>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</si>
  <si>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</si>
  <si>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</si>
  <si>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</si>
  <si>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</si>
  <si>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</si>
  <si>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</si>
  <si>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</si>
  <si>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</si>
  <si>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</si>
  <si>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</si>
  <si>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</si>
  <si>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</si>
  <si>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</si>
  <si>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</si>
  <si>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</si>
  <si>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</si>
  <si>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</si>
  <si>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</si>
  <si>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</si>
  <si>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</si>
  <si>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</si>
  <si>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</si>
  <si>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</si>
  <si>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</si>
  <si>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</si>
  <si>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</si>
  <si>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</si>
  <si>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</si>
  <si>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</si>
  <si>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</si>
  <si>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</si>
  <si>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</si>
  <si>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</si>
  <si>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</si>
  <si>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</si>
  <si>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</si>
  <si>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</si>
  <si>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</si>
  <si>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</si>
  <si>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</si>
  <si>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</si>
  <si>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</si>
  <si>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</si>
  <si>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</si>
  <si>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</si>
  <si>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</si>
  <si>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</si>
  <si>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</si>
  <si>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</si>
  <si>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</si>
  <si>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</si>
  <si>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</si>
  <si>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</si>
  <si>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</si>
  <si>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</si>
  <si>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</si>
  <si>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</si>
  <si>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</si>
  <si>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</si>
  <si>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</si>
  <si>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</si>
  <si>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</si>
  <si>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</si>
  <si>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</si>
  <si>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</si>
  <si>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</si>
  <si>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</si>
  <si>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</si>
  <si>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</si>
  <si>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</si>
  <si>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</si>
  <si>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</si>
  <si>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</si>
  <si>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</si>
  <si>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</si>
  <si>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</si>
  <si>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</si>
  <si>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</si>
  <si>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</si>
  <si>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</si>
  <si>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</si>
  <si>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</si>
  <si>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</si>
  <si>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</si>
  <si>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</si>
  <si>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</si>
  <si>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</si>
  <si>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</si>
  <si>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</si>
  <si>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</si>
  <si>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</si>
  <si>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объектам: «Строительство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 (ТЗ 3.СЭРС.2019/ЗЭРС-18); «Разукрупнение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 (ТЗ 6.УЭРС.2022/ЗРЭС-20); «Разукрупнение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 (ТЗ 19.УЭРС.2022/ЗРЭС-20); «Разукрупнение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 (ТЗ 2. УЭРС.2022/ЗРЭС-25)</t>
  </si>
  <si>
    <t>НМЦ</t>
  </si>
  <si>
    <t>ВЗ</t>
  </si>
  <si>
    <t>ВЗЛ СЦ</t>
  </si>
  <si>
    <t>АО "Янтарьэнергосервис"</t>
  </si>
  <si>
    <t>ООО "ПрофЭнергоСтрой"</t>
  </si>
  <si>
    <t>ООО "Земстрой"</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</si>
  <si>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</si>
  <si>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</si>
  <si>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</si>
  <si>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</si>
  <si>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</si>
  <si>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</si>
  <si>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</si>
  <si>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</si>
  <si>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</si>
  <si>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</si>
  <si>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предварительный расчет стоимости по объекту-аналогу</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</si>
  <si>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</si>
  <si>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</si>
  <si>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</si>
  <si>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</si>
  <si>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</si>
  <si>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</si>
  <si>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</si>
  <si>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</si>
  <si>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</si>
  <si>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</si>
  <si>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АО "Янтарьэнергосервис" договор № 410/СП от 04.07.2024 в ценах 2024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</si>
  <si>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</si>
  <si>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</si>
  <si>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</si>
  <si>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</si>
  <si>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</si>
  <si>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</si>
  <si>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</si>
  <si>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</si>
  <si>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</si>
  <si>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</si>
  <si>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</si>
  <si>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</si>
  <si>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АО "Янтарьэнергосервис" договор № 410/СП от 04.07.2024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</si>
  <si>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</si>
  <si>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</si>
  <si>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</si>
  <si>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</si>
  <si>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</si>
  <si>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</si>
  <si>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</si>
  <si>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</si>
  <si>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15/0,4 кВ 250 кВА, БКТП 15/0,4 кВ 400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</si>
  <si>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</si>
  <si>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</si>
  <si>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</si>
  <si>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</si>
  <si>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</si>
  <si>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</si>
  <si>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</si>
  <si>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</si>
  <si>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</si>
  <si>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</si>
  <si>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</si>
  <si>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</si>
  <si>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СМР ООО "МКИнжиниринг" договор № 32515088644 от 26.09.2025 в ценах 2025 года с НДС, млн. руб.</t>
  </si>
  <si>
    <t>АО "Техоборудование" договор № 1025 от 26.09.2024 в ценах 2025 года с НДС, млн. руб.</t>
  </si>
  <si>
    <t>СМР ООО "МКИнжиниринг" договор № 32515088644 от 26.09.2025</t>
  </si>
  <si>
    <t>АО "Техоборудование" договор № 1025 от 26.09.2024</t>
  </si>
  <si>
    <t>СМР</t>
  </si>
  <si>
    <t>Выполнение строительно-монтажных работ с поставкой оборудования подрядчика по объекту нельготной категории «Разукрупнение сетей ВЛ 0,4 кВ отТП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t>
  </si>
  <si>
    <t>Расчет предельной стоимости лота</t>
  </si>
  <si>
    <t>ЗК</t>
  </si>
  <si>
    <t>https://rosseti.roseltorg.ru/</t>
  </si>
  <si>
    <t>МТРиО</t>
  </si>
  <si>
    <t>Поставка БКТП 6/10/15/0,4 кВ</t>
  </si>
  <si>
    <t>ОК</t>
  </si>
  <si>
    <t>ОК ЕП</t>
  </si>
  <si>
    <t>АО "ТЕХОБОРУДОВАНИЕ"</t>
  </si>
  <si>
    <t>https://lot-online.ru</t>
  </si>
  <si>
    <t>ООО "МКИНЖИНИРИНГ"</t>
  </si>
  <si>
    <t>ООО "ПРОЭЛЕКТРОМОНТАЖ"</t>
  </si>
  <si>
    <t>ООО  "ЭВЕРЕСТ"</t>
  </si>
  <si>
    <t>ООО "ЭНЕРГИЯ"</t>
  </si>
  <si>
    <t>ООО "КТК-Запад" договор № 478 от 24.04.2024 в ценах 2024 года без НДС, млн. руб.</t>
  </si>
  <si>
    <t>АО "АЛЬФА-БАНК" договор № 0HEZ1L от 04.12.2024 в ценах 2024 года без НДС, млн. руб.</t>
  </si>
  <si>
    <t>услуги</t>
  </si>
  <si>
    <t>Оказание услуг грузчиков и грузоперевозок</t>
  </si>
  <si>
    <t>СЦ</t>
  </si>
  <si>
    <t>ООО "КТК-Запад"</t>
  </si>
  <si>
    <t>yanen24062DP</t>
  </si>
  <si>
    <t>без НДС</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</si>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</sst>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3"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0"/>
      <color indexed="2"/>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sz val="10"/>
      <color rgb="FF000000"/>
      <name val="Arial Cyr"/>
    </font>
    <font>
      <sz val="10"/>
      <color rgb="FF000000"/>
      <name val="Arial Cyr"/>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
      <patternFill patternType="solid">
        <fgColor theme="8" tint="0.79998168889431442"/>
        <bgColor indexed="64"/>
      </patternFill>
    </fill>
    <fill>
      <patternFill patternType="solid">
        <fgColor rgb="FFE6B8B7"/>
        <bgColor rgb="FF000000"/>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2" fillId="0" borderId="0"/>
    <xf numFmtId="0" fontId="82" fillId="0" borderId="0"/>
    <xf numFmtId="0" fontId="82" fillId="0" borderId="0"/>
    <xf numFmtId="0" fontId="82" fillId="0" borderId="0"/>
    <xf numFmtId="0" fontId="82" fillId="0" borderId="0"/>
    <xf numFmtId="0" fontId="82"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2" fillId="0" borderId="0" applyFont="0" applyFill="0" applyBorder="0" applyProtection="0"/>
    <xf numFmtId="164" fontId="82" fillId="0" borderId="0" applyFont="0" applyFill="0" applyBorder="0" applyProtection="0"/>
    <xf numFmtId="165" fontId="4" fillId="0" borderId="0" applyFont="0" applyFill="0" applyBorder="0" applyProtection="0"/>
    <xf numFmtId="166" fontId="82" fillId="0" borderId="0" applyFont="0" applyFill="0" applyBorder="0" applyProtection="0"/>
    <xf numFmtId="0" fontId="23" fillId="4" borderId="0" applyNumberFormat="0" applyBorder="0" applyProtection="0"/>
  </cellStyleXfs>
  <cellXfs count="453">
    <xf numFmtId="0" fontId="0" fillId="0" borderId="0" xfId="0"/>
    <xf numFmtId="0" fontId="82"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horizontal="center" vertical="center"/>
    </xf>
    <xf numFmtId="0" fontId="32" fillId="0" borderId="10" xfId="52" applyFont="1" applyBorder="1" applyAlignment="1">
      <alignment horizontal="left" vertical="center" wrapText="1"/>
    </xf>
    <xf numFmtId="49" fontId="32" fillId="0" borderId="12" xfId="52" applyNumberFormat="1" applyFont="1" applyBorder="1" applyAlignment="1">
      <alignment horizontal="center" vertical="center"/>
    </xf>
    <xf numFmtId="0" fontId="32" fillId="0" borderId="12" xfId="52" applyFont="1" applyBorder="1" applyAlignment="1">
      <alignment horizontal="center" vertical="center" wrapText="1"/>
    </xf>
    <xf numFmtId="49" fontId="32" fillId="0" borderId="10" xfId="52" applyNumberFormat="1" applyFont="1" applyBorder="1" applyAlignment="1">
      <alignment vertical="center"/>
    </xf>
    <xf numFmtId="0" fontId="32" fillId="24" borderId="0" xfId="0" applyFont="1" applyFill="1" applyAlignment="1">
      <alignment horizontal="left" vertical="center"/>
    </xf>
    <xf numFmtId="0" fontId="82" fillId="0" borderId="0" xfId="52" applyAlignment="1">
      <alignment vertical="center"/>
    </xf>
    <xf numFmtId="0" fontId="32" fillId="0" borderId="10" xfId="52" applyFont="1" applyBorder="1" applyAlignment="1">
      <alignment vertical="center"/>
    </xf>
    <xf numFmtId="0" fontId="36"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4" fillId="0" borderId="10" xfId="52" applyFont="1" applyBorder="1" applyAlignment="1">
      <alignment horizontal="center" vertical="center" wrapText="1"/>
    </xf>
    <xf numFmtId="167" fontId="34" fillId="0" borderId="10" xfId="52" applyNumberFormat="1" applyFont="1" applyBorder="1" applyAlignment="1">
      <alignment horizontal="center" vertical="center"/>
    </xf>
    <xf numFmtId="0" fontId="40" fillId="0" borderId="10" xfId="52" applyFont="1" applyBorder="1" applyAlignment="1">
      <alignment horizontal="center" vertical="center"/>
    </xf>
    <xf numFmtId="167" fontId="36"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82"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49" fontId="15" fillId="0" borderId="10" xfId="39" applyNumberFormat="1" applyFont="1" applyBorder="1" applyAlignment="1">
      <alignment horizontal="center" vertical="center" wrapText="1"/>
    </xf>
    <xf numFmtId="0" fontId="32" fillId="0" borderId="0" xfId="0" applyFont="1" applyAlignment="1">
      <alignment horizontal="center" vertical="center" wrapText="1"/>
    </xf>
    <xf numFmtId="0" fontId="32" fillId="0" borderId="10" xfId="0" applyFont="1" applyBorder="1" applyAlignment="1">
      <alignment horizontal="center" vertical="center" wrapText="1"/>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32" fillId="0" borderId="10" xfId="0" applyFont="1" applyBorder="1" applyAlignment="1">
      <alignment horizontal="center" vertical="center"/>
    </xf>
    <xf numFmtId="0" fontId="32" fillId="0" borderId="10" xfId="39" applyFont="1" applyBorder="1" applyAlignment="1">
      <alignment horizontal="center" vertical="center" wrapText="1"/>
    </xf>
    <xf numFmtId="0" fontId="38" fillId="0" borderId="10" xfId="0" applyFont="1" applyBorder="1" applyAlignment="1">
      <alignment horizontal="center" vertical="center" wrapText="1"/>
    </xf>
    <xf numFmtId="0" fontId="15" fillId="0" borderId="0" xfId="39" applyFont="1" applyAlignment="1">
      <alignment horizontal="center"/>
    </xf>
    <xf numFmtId="0" fontId="15" fillId="0" borderId="10" xfId="39" applyFont="1" applyBorder="1" applyAlignment="1">
      <alignment horizontal="center"/>
    </xf>
    <xf numFmtId="167" fontId="15" fillId="0" borderId="0" xfId="39" applyNumberFormat="1" applyFont="1" applyAlignment="1">
      <alignment horizontal="left"/>
    </xf>
    <xf numFmtId="0" fontId="43" fillId="0" borderId="0" xfId="39" applyFont="1" applyAlignment="1">
      <alignment horizontal="center" vertical="center" wrapText="1"/>
    </xf>
    <xf numFmtId="0" fontId="15" fillId="0" borderId="0" xfId="39" applyFont="1" applyAlignment="1">
      <alignment horizontal="center" vertical="center" wrapText="1"/>
    </xf>
    <xf numFmtId="0" fontId="38" fillId="0" borderId="0" xfId="0" applyFont="1" applyAlignment="1">
      <alignment vertical="top" wrapText="1"/>
    </xf>
    <xf numFmtId="0" fontId="15" fillId="0" borderId="0" xfId="39" applyFont="1" applyAlignment="1">
      <alignment horizontal="left"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0" fontId="32" fillId="0" borderId="11" xfId="52" applyFont="1" applyBorder="1" applyAlignment="1">
      <alignment vertical="center" wrapText="1"/>
    </xf>
    <xf numFmtId="0" fontId="15" fillId="0" borderId="10" xfId="52" applyFont="1" applyBorder="1" applyAlignment="1">
      <alignment vertical="center" wrapText="1"/>
    </xf>
    <xf numFmtId="0" fontId="44" fillId="0" borderId="0" xfId="0" applyFont="1"/>
    <xf numFmtId="0" fontId="45" fillId="0" borderId="0" xfId="52" applyFont="1" applyAlignment="1">
      <alignment vertical="center"/>
    </xf>
    <xf numFmtId="0" fontId="46" fillId="0" borderId="0" xfId="52" applyFont="1" applyAlignment="1">
      <alignment vertical="center"/>
    </xf>
    <xf numFmtId="0" fontId="15" fillId="0" borderId="0" xfId="52" applyFont="1" applyAlignment="1">
      <alignment vertical="center"/>
    </xf>
    <xf numFmtId="0" fontId="26" fillId="0" borderId="0" xfId="52" applyFont="1" applyAlignment="1">
      <alignment vertical="center"/>
    </xf>
    <xf numFmtId="0" fontId="47" fillId="0" borderId="0" xfId="51" applyFont="1"/>
    <xf numFmtId="0" fontId="48" fillId="0" borderId="0" xfId="51" applyFont="1"/>
    <xf numFmtId="0" fontId="49" fillId="0" borderId="10" xfId="0" applyFont="1" applyBorder="1" applyAlignment="1">
      <alignment horizontal="center" vertical="center"/>
    </xf>
    <xf numFmtId="0" fontId="49" fillId="0" borderId="10" xfId="0" applyFont="1" applyBorder="1" applyAlignment="1">
      <alignment horizontal="center" vertical="center" wrapText="1"/>
    </xf>
    <xf numFmtId="0" fontId="49" fillId="0" borderId="14" xfId="0" applyFont="1" applyBorder="1" applyAlignment="1">
      <alignment horizontal="center" vertical="center" wrapText="1"/>
    </xf>
    <xf numFmtId="0" fontId="49" fillId="0" borderId="12" xfId="0" applyFont="1" applyBorder="1" applyAlignment="1">
      <alignment horizontal="center" vertical="center"/>
    </xf>
    <xf numFmtId="0" fontId="49" fillId="0" borderId="12" xfId="0" applyFont="1" applyBorder="1" applyAlignment="1">
      <alignment horizontal="center" vertical="center" wrapText="1"/>
    </xf>
    <xf numFmtId="0" fontId="44" fillId="0" borderId="10" xfId="0" applyFont="1" applyBorder="1" applyAlignment="1">
      <alignment wrapText="1"/>
    </xf>
    <xf numFmtId="0" fontId="44" fillId="0" borderId="10" xfId="0" applyFont="1" applyBorder="1" applyAlignment="1">
      <alignment horizontal="center" vertical="center"/>
    </xf>
    <xf numFmtId="0" fontId="44" fillId="0" borderId="10" xfId="0" applyFont="1" applyBorder="1"/>
    <xf numFmtId="0" fontId="44" fillId="0" borderId="14" xfId="0" applyFont="1" applyBorder="1" applyAlignment="1">
      <alignment horizontal="center" vertical="center"/>
    </xf>
    <xf numFmtId="0" fontId="50" fillId="0" borderId="10" xfId="0" applyFont="1" applyBorder="1" applyAlignment="1">
      <alignment horizontal="center" vertical="center" wrapText="1"/>
    </xf>
    <xf numFmtId="0" fontId="44" fillId="0" borderId="10" xfId="0" applyFont="1" applyBorder="1" applyAlignment="1">
      <alignment horizontal="center" vertical="center" wrapText="1"/>
    </xf>
    <xf numFmtId="0" fontId="49" fillId="0" borderId="0" xfId="0" applyFont="1"/>
    <xf numFmtId="0" fontId="34" fillId="0" borderId="10" xfId="52" applyFont="1" applyBorder="1" applyAlignment="1">
      <alignment horizontal="center" vertical="center"/>
    </xf>
    <xf numFmtId="0" fontId="51" fillId="0" borderId="0" xfId="39" applyFont="1"/>
    <xf numFmtId="0" fontId="32" fillId="0" borderId="0" xfId="55" applyFont="1" applyAlignment="1">
      <alignment vertical="center" wrapText="1"/>
    </xf>
    <xf numFmtId="0" fontId="32" fillId="0" borderId="0" xfId="55" applyFont="1" applyAlignment="1">
      <alignment vertical="center"/>
    </xf>
    <xf numFmtId="0" fontId="52" fillId="0" borderId="0" xfId="39" applyFont="1"/>
    <xf numFmtId="0" fontId="53" fillId="0" borderId="0" xfId="52" applyFont="1"/>
    <xf numFmtId="0" fontId="28" fillId="0" borderId="0" xfId="53" applyFont="1" applyAlignment="1">
      <alignment vertical="center"/>
    </xf>
    <xf numFmtId="0" fontId="54" fillId="0" borderId="0" xfId="53" applyFont="1" applyAlignment="1">
      <alignment vertical="center"/>
    </xf>
    <xf numFmtId="0" fontId="55" fillId="0" borderId="0" xfId="52"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xf numFmtId="0" fontId="59" fillId="0" borderId="0" xfId="52" applyFont="1" applyAlignment="1">
      <alignment vertical="center"/>
    </xf>
    <xf numFmtId="0" fontId="39" fillId="0" borderId="0" xfId="55" applyFont="1" applyAlignment="1">
      <alignment vertical="center" wrapText="1"/>
    </xf>
    <xf numFmtId="0" fontId="32" fillId="0" borderId="0" xfId="55" applyFont="1" applyAlignment="1">
      <alignment horizontal="right" vertical="center"/>
    </xf>
    <xf numFmtId="0" fontId="39" fillId="0" borderId="0" xfId="55" applyFont="1" applyAlignment="1">
      <alignmen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60" fillId="0" borderId="0" xfId="55" applyFont="1" applyAlignment="1">
      <alignment horizontal="left" vertical="center"/>
    </xf>
    <xf numFmtId="0" fontId="61" fillId="0" borderId="0" xfId="55" applyFont="1" applyAlignment="1">
      <alignment vertical="center"/>
    </xf>
    <xf numFmtId="0" fontId="32" fillId="0" borderId="22" xfId="55" applyFont="1" applyBorder="1" applyAlignment="1">
      <alignment vertical="center" wrapText="1"/>
    </xf>
    <xf numFmtId="3" fontId="38" fillId="0" borderId="23" xfId="55" applyNumberFormat="1" applyFont="1" applyBorder="1" applyAlignment="1">
      <alignment vertical="center"/>
    </xf>
    <xf numFmtId="0" fontId="32" fillId="0" borderId="24" xfId="55" applyFont="1" applyBorder="1" applyAlignment="1">
      <alignment vertical="center" wrapText="1"/>
    </xf>
    <xf numFmtId="3" fontId="38" fillId="0" borderId="25" xfId="55" applyNumberFormat="1" applyFont="1" applyBorder="1" applyAlignment="1">
      <alignment vertical="center"/>
    </xf>
    <xf numFmtId="0" fontId="32" fillId="0" borderId="26" xfId="55" applyFont="1" applyBorder="1" applyAlignment="1">
      <alignment vertical="center" wrapText="1"/>
    </xf>
    <xf numFmtId="3" fontId="38" fillId="0" borderId="27" xfId="55" applyNumberFormat="1" applyFont="1" applyBorder="1" applyAlignment="1">
      <alignment vertical="center"/>
    </xf>
    <xf numFmtId="0" fontId="43" fillId="0" borderId="28" xfId="55" applyFont="1" applyBorder="1" applyAlignment="1">
      <alignment vertical="center" wrapText="1"/>
    </xf>
    <xf numFmtId="10" fontId="38" fillId="0" borderId="27" xfId="55" applyNumberFormat="1" applyFont="1" applyBorder="1" applyAlignment="1">
      <alignment vertical="center"/>
    </xf>
    <xf numFmtId="0" fontId="32" fillId="0" borderId="28" xfId="55" applyFont="1" applyBorder="1" applyAlignment="1">
      <alignment vertical="center" wrapText="1"/>
    </xf>
    <xf numFmtId="9" fontId="38" fillId="0" borderId="29" xfId="55" applyNumberFormat="1" applyFont="1" applyBorder="1" applyAlignment="1">
      <alignment vertical="center"/>
    </xf>
    <xf numFmtId="0" fontId="32" fillId="0" borderId="30" xfId="55" applyFont="1" applyBorder="1" applyAlignment="1">
      <alignment vertical="center" wrapText="1"/>
    </xf>
    <xf numFmtId="3" fontId="38" fillId="0" borderId="22" xfId="55" applyNumberFormat="1" applyFont="1" applyBorder="1" applyAlignment="1">
      <alignment vertical="center"/>
    </xf>
    <xf numFmtId="0" fontId="32" fillId="0" borderId="31" xfId="55" applyFont="1" applyBorder="1" applyAlignment="1">
      <alignment vertical="center" wrapText="1"/>
    </xf>
    <xf numFmtId="10" fontId="38" fillId="0" borderId="32" xfId="55" applyNumberFormat="1" applyFont="1" applyBorder="1" applyAlignment="1">
      <alignment vertical="center"/>
    </xf>
    <xf numFmtId="10" fontId="38" fillId="0" borderId="24" xfId="55" applyNumberFormat="1" applyFont="1" applyBorder="1" applyAlignment="1">
      <alignment vertical="center"/>
    </xf>
    <xf numFmtId="0" fontId="32" fillId="0" borderId="33" xfId="55" applyFont="1" applyBorder="1" applyAlignment="1">
      <alignment vertical="center" wrapText="1"/>
    </xf>
    <xf numFmtId="168" fontId="38" fillId="0" borderId="28" xfId="55" applyNumberFormat="1" applyFont="1" applyBorder="1" applyAlignment="1">
      <alignment vertical="center"/>
    </xf>
    <xf numFmtId="0" fontId="62"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38" fillId="0" borderId="10" xfId="55" applyNumberFormat="1" applyFont="1" applyBorder="1" applyAlignment="1">
      <alignment vertical="center"/>
    </xf>
    <xf numFmtId="0" fontId="32" fillId="0" borderId="37" xfId="55" applyFont="1" applyBorder="1" applyAlignment="1">
      <alignment vertical="center" wrapText="1"/>
    </xf>
    <xf numFmtId="3" fontId="38" fillId="0" borderId="38" xfId="55" applyNumberFormat="1" applyFont="1" applyBorder="1" applyAlignment="1">
      <alignment vertical="center"/>
    </xf>
    <xf numFmtId="0" fontId="48"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47" fillId="0" borderId="10" xfId="55" applyNumberFormat="1" applyFont="1" applyBorder="1" applyAlignment="1">
      <alignment vertical="center"/>
    </xf>
    <xf numFmtId="0" fontId="15" fillId="0" borderId="37" xfId="55" applyFont="1" applyBorder="1" applyAlignment="1">
      <alignment vertical="center" wrapText="1"/>
    </xf>
    <xf numFmtId="3" fontId="47" fillId="0" borderId="38" xfId="55" applyNumberFormat="1" applyFont="1" applyBorder="1" applyAlignment="1">
      <alignment vertical="center"/>
    </xf>
    <xf numFmtId="0" fontId="63" fillId="0" borderId="0" xfId="39" applyFont="1"/>
    <xf numFmtId="0" fontId="64" fillId="0" borderId="0" xfId="55" applyFont="1" applyAlignment="1">
      <alignment vertical="center" wrapText="1"/>
    </xf>
    <xf numFmtId="3" fontId="64" fillId="0" borderId="0" xfId="55" applyNumberFormat="1" applyFont="1" applyAlignment="1">
      <alignment horizontal="center" vertical="center"/>
    </xf>
    <xf numFmtId="0" fontId="48" fillId="0" borderId="36" xfId="55" applyFont="1" applyBorder="1" applyAlignment="1">
      <alignment vertical="center" wrapText="1"/>
    </xf>
    <xf numFmtId="3" fontId="48" fillId="0" borderId="10" xfId="55" applyNumberFormat="1" applyFont="1" applyBorder="1" applyAlignment="1">
      <alignment vertical="center"/>
    </xf>
    <xf numFmtId="0" fontId="15" fillId="0" borderId="36" xfId="55" applyFont="1" applyBorder="1" applyAlignment="1">
      <alignment horizontal="left" vertical="center" wrapText="1"/>
    </xf>
    <xf numFmtId="0" fontId="48" fillId="0" borderId="36" xfId="55" applyFont="1" applyBorder="1" applyAlignment="1">
      <alignment horizontal="left" vertical="center" wrapText="1"/>
    </xf>
    <xf numFmtId="0" fontId="15" fillId="0" borderId="0" xfId="55" applyFont="1" applyAlignment="1">
      <alignment vertical="center"/>
    </xf>
    <xf numFmtId="3" fontId="65" fillId="0" borderId="39" xfId="55" applyNumberFormat="1" applyFont="1" applyBorder="1" applyAlignment="1">
      <alignment vertical="center"/>
    </xf>
    <xf numFmtId="3" fontId="65" fillId="0" borderId="0" xfId="55" applyNumberFormat="1" applyFont="1" applyAlignment="1">
      <alignment vertical="center"/>
    </xf>
    <xf numFmtId="0" fontId="48" fillId="0" borderId="37" xfId="55" applyFont="1" applyBorder="1" applyAlignment="1">
      <alignment horizontal="left" vertical="center" wrapText="1"/>
    </xf>
    <xf numFmtId="3" fontId="48" fillId="0" borderId="38" xfId="55" applyNumberFormat="1" applyFont="1" applyBorder="1" applyAlignment="1">
      <alignment vertical="center"/>
    </xf>
    <xf numFmtId="169" fontId="66" fillId="0" borderId="0" xfId="55" applyNumberFormat="1" applyFont="1" applyAlignment="1">
      <alignment horizontal="center" vertical="center"/>
    </xf>
    <xf numFmtId="170" fontId="47" fillId="0" borderId="10" xfId="55" applyNumberFormat="1" applyFont="1" applyBorder="1" applyAlignment="1">
      <alignment horizontal="center" vertical="center"/>
    </xf>
    <xf numFmtId="171" fontId="48" fillId="0" borderId="10" xfId="55" applyNumberFormat="1" applyFont="1" applyBorder="1" applyAlignment="1">
      <alignment vertical="center"/>
    </xf>
    <xf numFmtId="172" fontId="48" fillId="0" borderId="10" xfId="55" applyNumberFormat="1" applyFont="1" applyBorder="1" applyAlignment="1">
      <alignment vertical="center"/>
    </xf>
    <xf numFmtId="0" fontId="48" fillId="0" borderId="37" xfId="55" applyFont="1" applyBorder="1" applyAlignment="1">
      <alignment vertical="center" wrapText="1"/>
    </xf>
    <xf numFmtId="172" fontId="48" fillId="0" borderId="38" xfId="55" applyNumberFormat="1" applyFont="1" applyBorder="1" applyAlignment="1">
      <alignment vertical="center"/>
    </xf>
    <xf numFmtId="1" fontId="32" fillId="0" borderId="0" xfId="55" applyNumberFormat="1" applyFont="1" applyAlignment="1">
      <alignment vertical="center"/>
    </xf>
    <xf numFmtId="0" fontId="67" fillId="0" borderId="0" xfId="53" applyFont="1" applyAlignment="1">
      <alignment wrapText="1"/>
    </xf>
    <xf numFmtId="0" fontId="67" fillId="0" borderId="0" xfId="53" applyFont="1"/>
    <xf numFmtId="0" fontId="68" fillId="0" borderId="0" xfId="53" applyFont="1"/>
    <xf numFmtId="49" fontId="67" fillId="0" borderId="0" xfId="53" applyNumberFormat="1" applyFont="1" applyAlignment="1">
      <alignment vertical="center"/>
    </xf>
    <xf numFmtId="173" fontId="32" fillId="0" borderId="0" xfId="55" applyNumberFormat="1" applyFont="1" applyAlignment="1">
      <alignment vertical="center"/>
    </xf>
    <xf numFmtId="0" fontId="69" fillId="0" borderId="40" xfId="39" applyFont="1" applyBorder="1"/>
    <xf numFmtId="0" fontId="57" fillId="0" borderId="40" xfId="55" applyFont="1" applyBorder="1" applyAlignment="1">
      <alignment vertical="center" wrapText="1"/>
    </xf>
    <xf numFmtId="3" fontId="70" fillId="0" borderId="41" xfId="55" applyNumberFormat="1" applyFont="1" applyBorder="1" applyAlignment="1">
      <alignment vertical="center"/>
    </xf>
    <xf numFmtId="3" fontId="71" fillId="0" borderId="41" xfId="55" applyNumberFormat="1" applyFont="1" applyBorder="1" applyAlignment="1">
      <alignment vertical="center"/>
    </xf>
    <xf numFmtId="3" fontId="70" fillId="0" borderId="42" xfId="55" applyNumberFormat="1" applyFont="1" applyBorder="1" applyAlignment="1">
      <alignment vertical="center"/>
    </xf>
    <xf numFmtId="0" fontId="52" fillId="0" borderId="40" xfId="39" applyFont="1" applyBorder="1"/>
    <xf numFmtId="0" fontId="69" fillId="0" borderId="0" xfId="39" applyFont="1"/>
    <xf numFmtId="3" fontId="54" fillId="0" borderId="0" xfId="55" applyNumberFormat="1" applyFont="1" applyAlignment="1">
      <alignment horizontal="center" vertical="center" wrapText="1"/>
    </xf>
    <xf numFmtId="0" fontId="57" fillId="0" borderId="0" xfId="55" applyFont="1" applyAlignment="1">
      <alignment vertical="center"/>
    </xf>
    <xf numFmtId="0" fontId="57" fillId="0" borderId="0" xfId="55" applyFont="1" applyAlignment="1">
      <alignment vertical="center" wrapText="1"/>
    </xf>
    <xf numFmtId="174" fontId="70" fillId="0" borderId="10" xfId="55" applyNumberFormat="1" applyFont="1" applyBorder="1" applyAlignment="1">
      <alignment vertical="center"/>
    </xf>
    <xf numFmtId="0" fontId="62" fillId="0" borderId="0" xfId="55" applyFont="1" applyAlignment="1">
      <alignment vertical="center" wrapText="1"/>
    </xf>
    <xf numFmtId="0" fontId="72" fillId="25" borderId="10" xfId="39" applyFont="1" applyFill="1" applyBorder="1" applyAlignment="1">
      <alignment horizontal="center" vertical="center" wrapText="1"/>
    </xf>
    <xf numFmtId="0" fontId="16" fillId="0" borderId="0" xfId="39" applyFont="1"/>
    <xf numFmtId="174" fontId="51" fillId="25" borderId="10" xfId="39" applyNumberFormat="1" applyFont="1" applyFill="1" applyBorder="1" applyAlignment="1">
      <alignment horizontal="center" vertical="center" wrapText="1"/>
    </xf>
    <xf numFmtId="9" fontId="51" fillId="25" borderId="10" xfId="39" applyNumberFormat="1" applyFont="1" applyFill="1" applyBorder="1" applyAlignment="1">
      <alignment horizontal="center" vertical="center" wrapText="1"/>
    </xf>
    <xf numFmtId="4" fontId="51" fillId="25"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73" fillId="26" borderId="10" xfId="39" applyFont="1" applyFill="1" applyBorder="1" applyAlignment="1">
      <alignment horizontal="left" vertical="center" wrapText="1"/>
    </xf>
    <xf numFmtId="0" fontId="73" fillId="26" borderId="10" xfId="39" applyFont="1" applyFill="1" applyBorder="1" applyAlignment="1">
      <alignment horizontal="center" wrapText="1"/>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6" fillId="8" borderId="10" xfId="62" applyNumberFormat="1" applyFont="1" applyFill="1" applyBorder="1" applyAlignment="1">
      <alignment horizontal="center" vertical="center"/>
    </xf>
    <xf numFmtId="0" fontId="16" fillId="27" borderId="10" xfId="39" applyFont="1" applyFill="1" applyBorder="1" applyAlignment="1">
      <alignment horizontal="center" vertical="center" wrapText="1"/>
    </xf>
    <xf numFmtId="0" fontId="74" fillId="27"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51" fillId="0" borderId="0" xfId="39" applyFont="1" applyAlignment="1">
      <alignment wrapText="1"/>
    </xf>
    <xf numFmtId="0" fontId="51" fillId="0" borderId="10" xfId="39" applyFont="1" applyBorder="1" applyAlignment="1">
      <alignment wrapText="1"/>
    </xf>
    <xf numFmtId="4" fontId="74" fillId="28" borderId="10" xfId="39" applyNumberFormat="1" applyFont="1" applyFill="1" applyBorder="1" applyAlignment="1">
      <alignment horizontal="center"/>
    </xf>
    <xf numFmtId="3" fontId="51" fillId="27" borderId="10" xfId="39" applyNumberFormat="1" applyFont="1" applyFill="1" applyBorder="1" applyAlignment="1">
      <alignment horizontal="center"/>
    </xf>
    <xf numFmtId="0" fontId="51" fillId="0" borderId="0" xfId="39" applyFont="1" applyAlignment="1">
      <alignment horizontal="center"/>
    </xf>
    <xf numFmtId="0" fontId="51" fillId="0" borderId="13" xfId="39" applyFont="1" applyBorder="1" applyAlignment="1">
      <alignment wrapText="1"/>
    </xf>
    <xf numFmtId="3" fontId="51" fillId="0" borderId="13" xfId="39" applyNumberFormat="1" applyFont="1" applyBorder="1"/>
    <xf numFmtId="4" fontId="51" fillId="0" borderId="10" xfId="39" applyNumberFormat="1" applyFont="1" applyBorder="1" applyAlignment="1">
      <alignment horizontal="center"/>
    </xf>
    <xf numFmtId="4" fontId="51" fillId="8" borderId="10" xfId="39" applyNumberFormat="1" applyFont="1" applyFill="1" applyBorder="1" applyAlignment="1">
      <alignment horizontal="center"/>
    </xf>
    <xf numFmtId="4" fontId="51" fillId="0" borderId="0" xfId="39" applyNumberFormat="1" applyFont="1" applyAlignment="1">
      <alignment horizontal="center"/>
    </xf>
    <xf numFmtId="10" fontId="51" fillId="8" borderId="10" xfId="39" applyNumberFormat="1" applyFont="1" applyFill="1" applyBorder="1" applyAlignment="1">
      <alignment horizontal="center"/>
    </xf>
    <xf numFmtId="0" fontId="32" fillId="0" borderId="13" xfId="55" applyFont="1" applyBorder="1" applyAlignment="1">
      <alignment vertical="center" wrapText="1"/>
    </xf>
    <xf numFmtId="3" fontId="38" fillId="0" borderId="13" xfId="55" applyNumberFormat="1" applyFont="1" applyBorder="1" applyAlignment="1">
      <alignment horizontal="center" vertical="center"/>
    </xf>
    <xf numFmtId="3" fontId="75" fillId="0" borderId="13" xfId="55" applyNumberFormat="1" applyFont="1" applyBorder="1" applyAlignment="1">
      <alignment horizontal="center" vertical="center"/>
    </xf>
    <xf numFmtId="0" fontId="75" fillId="0" borderId="10" xfId="55" applyFont="1" applyBorder="1" applyAlignment="1">
      <alignment horizontal="center" vertical="center"/>
    </xf>
    <xf numFmtId="0" fontId="76" fillId="0" borderId="10" xfId="39" applyFont="1" applyBorder="1" applyAlignment="1">
      <alignment horizontal="center"/>
    </xf>
    <xf numFmtId="0" fontId="51" fillId="0" borderId="10" xfId="39" applyFont="1" applyBorder="1"/>
    <xf numFmtId="10" fontId="73" fillId="26" borderId="10" xfId="39" applyNumberFormat="1" applyFont="1" applyFill="1" applyBorder="1"/>
    <xf numFmtId="10" fontId="51" fillId="0" borderId="10" xfId="39" applyNumberFormat="1" applyFont="1" applyBorder="1"/>
    <xf numFmtId="0" fontId="51" fillId="0" borderId="13" xfId="39" applyFont="1" applyBorder="1"/>
    <xf numFmtId="10" fontId="51" fillId="0" borderId="13" xfId="39" applyNumberFormat="1" applyFont="1" applyBorder="1"/>
    <xf numFmtId="3" fontId="32" fillId="0" borderId="10" xfId="55" applyNumberFormat="1" applyFont="1" applyBorder="1" applyAlignment="1">
      <alignment horizontal="right" vertical="center"/>
    </xf>
    <xf numFmtId="169" fontId="38"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61" fillId="0" borderId="0" xfId="0" applyFont="1" applyAlignment="1">
      <alignment horizontal="left" vertical="top"/>
    </xf>
    <xf numFmtId="0" fontId="15" fillId="0" borderId="0" xfId="41" applyFont="1" applyAlignment="1">
      <alignment horizontal="center" vertical="center"/>
    </xf>
    <xf numFmtId="0" fontId="28" fillId="0" borderId="10"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top" wrapText="1"/>
    </xf>
    <xf numFmtId="0" fontId="15" fillId="0" borderId="10" xfId="41" applyFont="1" applyBorder="1"/>
    <xf numFmtId="0" fontId="0" fillId="0" borderId="10" xfId="0" applyBorder="1" applyAlignment="1">
      <alignment wrapText="1"/>
    </xf>
    <xf numFmtId="0" fontId="15" fillId="0" borderId="10" xfId="41" applyFont="1" applyBorder="1" applyAlignment="1">
      <alignment vertical="top" wrapText="1"/>
    </xf>
    <xf numFmtId="14" fontId="15" fillId="0" borderId="10" xfId="41" applyNumberFormat="1" applyFont="1" applyBorder="1" applyAlignment="1">
      <alignment horizontal="center" vertical="center" wrapText="1" shrinkToFit="1"/>
    </xf>
    <xf numFmtId="0" fontId="15" fillId="0" borderId="10" xfId="41" applyFont="1" applyBorder="1" applyAlignment="1">
      <alignment horizontal="justify" vertical="top" wrapText="1"/>
    </xf>
    <xf numFmtId="14" fontId="15" fillId="0" borderId="10" xfId="41" applyNumberFormat="1" applyFont="1" applyBorder="1" applyAlignment="1">
      <alignment horizontal="center" vertical="center" wrapText="1"/>
    </xf>
    <xf numFmtId="0" fontId="15" fillId="0" borderId="10" xfId="41" applyFont="1" applyBorder="1" applyAlignment="1">
      <alignment horizontal="left" vertical="top" wrapText="1"/>
    </xf>
    <xf numFmtId="175" fontId="28" fillId="0" borderId="10" xfId="41" applyNumberFormat="1" applyFont="1" applyBorder="1" applyAlignment="1">
      <alignment horizontal="right" vertical="top" wrapText="1"/>
    </xf>
    <xf numFmtId="0" fontId="15" fillId="0" borderId="0" xfId="41" applyFont="1" applyAlignment="1">
      <alignment vertical="top" wrapText="1"/>
    </xf>
    <xf numFmtId="0" fontId="37" fillId="0" borderId="0" xfId="41" applyFont="1" applyAlignment="1">
      <alignment vertical="center"/>
    </xf>
    <xf numFmtId="0" fontId="34" fillId="0" borderId="0" xfId="52" applyFont="1" applyAlignment="1">
      <alignment vertical="center"/>
    </xf>
    <xf numFmtId="0" fontId="26" fillId="0" borderId="0" xfId="41" applyFont="1"/>
    <xf numFmtId="0" fontId="28" fillId="0" borderId="0" xfId="56" applyFont="1"/>
    <xf numFmtId="0" fontId="15" fillId="0" borderId="12"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6" fontId="28" fillId="0" borderId="10" xfId="41" applyNumberFormat="1" applyFont="1" applyBorder="1" applyAlignment="1">
      <alignment horizontal="center" vertical="center" wrapText="1"/>
    </xf>
    <xf numFmtId="176"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6" fontId="28" fillId="0" borderId="10" xfId="41" applyNumberFormat="1" applyFont="1" applyBorder="1" applyAlignment="1">
      <alignment horizontal="center" vertical="center"/>
    </xf>
    <xf numFmtId="176" fontId="15" fillId="0" borderId="10" xfId="41" applyNumberFormat="1" applyFont="1" applyBorder="1" applyAlignment="1">
      <alignment horizontal="center" vertical="center" wrapText="1"/>
    </xf>
    <xf numFmtId="176"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176" fontId="28" fillId="0" borderId="10" xfId="0" applyNumberFormat="1" applyFont="1" applyBorder="1" applyAlignment="1">
      <alignment horizontal="center" vertical="center"/>
    </xf>
    <xf numFmtId="0" fontId="77" fillId="0" borderId="10" xfId="47" applyFont="1" applyBorder="1" applyAlignment="1">
      <alignment horizontal="left" vertical="center" wrapText="1"/>
    </xf>
    <xf numFmtId="176" fontId="78" fillId="0" borderId="10" xfId="47" applyNumberFormat="1" applyFont="1" applyBorder="1" applyAlignment="1">
      <alignment horizontal="center" vertical="center" wrapText="1"/>
    </xf>
    <xf numFmtId="0" fontId="78" fillId="0" borderId="10" xfId="47" applyFont="1" applyBorder="1" applyAlignment="1">
      <alignment horizontal="left" vertical="center" wrapText="1"/>
    </xf>
    <xf numFmtId="0" fontId="77" fillId="0" borderId="16" xfId="47" applyFont="1" applyBorder="1" applyAlignment="1">
      <alignment horizontal="left" vertical="center" wrapText="1"/>
    </xf>
    <xf numFmtId="176" fontId="78" fillId="0" borderId="16"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0" fontId="15" fillId="0" borderId="0" xfId="41" applyFont="1" applyAlignment="1">
      <alignment horizontal="left"/>
    </xf>
    <xf numFmtId="0" fontId="38" fillId="0" borderId="0" xfId="51" applyFont="1"/>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80" fillId="0" borderId="0" xfId="51" applyFont="1"/>
    <xf numFmtId="0" fontId="80" fillId="0" borderId="10" xfId="51" applyFont="1" applyBorder="1" applyAlignment="1">
      <alignment horizontal="center" vertical="center"/>
    </xf>
    <xf numFmtId="1" fontId="80" fillId="0" borderId="10" xfId="51" applyNumberFormat="1" applyFont="1" applyBorder="1" applyAlignment="1">
      <alignment horizontal="center" vertical="center"/>
    </xf>
    <xf numFmtId="49" fontId="80" fillId="0" borderId="10" xfId="51" applyNumberFormat="1" applyFont="1" applyBorder="1" applyAlignment="1">
      <alignment horizontal="center" vertical="center"/>
    </xf>
    <xf numFmtId="14" fontId="80" fillId="0" borderId="10" xfId="51" applyNumberFormat="1" applyFont="1" applyBorder="1" applyAlignment="1">
      <alignment horizontal="center" vertical="center"/>
    </xf>
    <xf numFmtId="2" fontId="80" fillId="0" borderId="10" xfId="51" applyNumberFormat="1" applyFont="1" applyBorder="1" applyAlignment="1">
      <alignment horizontal="center" vertical="center"/>
    </xf>
    <xf numFmtId="49" fontId="80" fillId="0" borderId="10" xfId="51" applyNumberFormat="1" applyFont="1" applyBorder="1" applyAlignment="1">
      <alignment horizontal="center" vertical="center" wrapText="1"/>
    </xf>
    <xf numFmtId="169" fontId="80" fillId="0" borderId="10" xfId="51" applyNumberFormat="1" applyFont="1" applyBorder="1" applyAlignment="1">
      <alignment horizontal="center" vertical="center"/>
    </xf>
    <xf numFmtId="169" fontId="38" fillId="0" borderId="0" xfId="51" applyNumberFormat="1" applyFont="1"/>
    <xf numFmtId="0" fontId="47" fillId="0" borderId="0" xfId="41" applyFont="1"/>
    <xf numFmtId="0" fontId="45" fillId="0" borderId="0" xfId="41" applyFont="1" applyAlignment="1">
      <alignment horizontal="center"/>
    </xf>
    <xf numFmtId="0" fontId="45" fillId="0" borderId="0" xfId="41" applyFont="1"/>
    <xf numFmtId="2" fontId="81" fillId="0" borderId="0" xfId="41" applyNumberFormat="1" applyFont="1" applyAlignment="1">
      <alignment horizontal="right" vertical="top" wrapText="1"/>
    </xf>
    <xf numFmtId="0" fontId="47" fillId="0" borderId="0" xfId="41" applyFont="1" applyAlignment="1">
      <alignment horizontal="right"/>
    </xf>
    <xf numFmtId="0" fontId="48" fillId="0" borderId="43" xfId="41" applyFont="1" applyBorder="1" applyAlignment="1">
      <alignment horizontal="justify" vertical="top"/>
    </xf>
    <xf numFmtId="0" fontId="15" fillId="0" borderId="43" xfId="40" applyFont="1" applyBorder="1" applyAlignment="1">
      <alignment horizontal="left" vertical="center" wrapText="1"/>
    </xf>
    <xf numFmtId="0" fontId="48" fillId="0" borderId="43" xfId="41" applyFont="1" applyBorder="1" applyAlignment="1">
      <alignment horizontal="justify"/>
    </xf>
    <xf numFmtId="0" fontId="47" fillId="0" borderId="43" xfId="41" applyFont="1" applyBorder="1" applyAlignment="1">
      <alignment horizontal="justify"/>
    </xf>
    <xf numFmtId="0" fontId="47" fillId="0" borderId="44" xfId="41" applyFont="1" applyBorder="1" applyAlignment="1">
      <alignment horizontal="justify"/>
    </xf>
    <xf numFmtId="0" fontId="48" fillId="0" borderId="43" xfId="41" applyFont="1" applyBorder="1" applyAlignment="1">
      <alignment vertical="top" wrapText="1"/>
    </xf>
    <xf numFmtId="0" fontId="48" fillId="0" borderId="45" xfId="41" applyFont="1" applyBorder="1" applyAlignment="1">
      <alignment vertical="top" wrapText="1"/>
    </xf>
    <xf numFmtId="0" fontId="47" fillId="0" borderId="46" xfId="41" applyFont="1" applyBorder="1" applyAlignment="1">
      <alignment horizontal="justify" vertical="top" wrapText="1"/>
    </xf>
    <xf numFmtId="0" fontId="48" fillId="0" borderId="45" xfId="41" applyFont="1" applyBorder="1" applyAlignment="1">
      <alignment horizontal="justify" vertical="top" wrapText="1"/>
    </xf>
    <xf numFmtId="2" fontId="47" fillId="0" borderId="43" xfId="41" applyNumberFormat="1" applyFont="1" applyBorder="1" applyAlignment="1">
      <alignment horizontal="justify" vertical="top" wrapText="1"/>
    </xf>
    <xf numFmtId="0" fontId="47" fillId="0" borderId="43" xfId="41" applyFont="1" applyBorder="1" applyAlignment="1">
      <alignment horizontal="justify" vertical="top" wrapText="1"/>
    </xf>
    <xf numFmtId="0" fontId="48" fillId="0" borderId="43" xfId="41" applyFont="1" applyBorder="1" applyAlignment="1">
      <alignment horizontal="justify" vertical="top" wrapText="1"/>
    </xf>
    <xf numFmtId="2" fontId="47" fillId="0" borderId="46" xfId="41" applyNumberFormat="1" applyFont="1" applyBorder="1" applyAlignment="1">
      <alignment horizontal="left" vertical="center" wrapText="1"/>
    </xf>
    <xf numFmtId="174" fontId="47" fillId="0" borderId="43" xfId="41" applyNumberFormat="1" applyFont="1" applyBorder="1" applyAlignment="1">
      <alignment horizontal="justify" vertical="top" wrapText="1"/>
    </xf>
    <xf numFmtId="0" fontId="15" fillId="29" borderId="0" xfId="41" applyFont="1" applyFill="1"/>
    <xf numFmtId="0" fontId="47" fillId="29" borderId="43" xfId="41" applyFont="1" applyFill="1" applyBorder="1" applyAlignment="1">
      <alignment horizontal="justify" vertical="top" wrapText="1"/>
    </xf>
    <xf numFmtId="2" fontId="47" fillId="29" borderId="46" xfId="41" applyNumberFormat="1" applyFont="1" applyFill="1" applyBorder="1" applyAlignment="1">
      <alignment horizontal="left" vertical="center" wrapText="1"/>
    </xf>
    <xf numFmtId="10" fontId="47" fillId="0" borderId="43" xfId="41" applyNumberFormat="1" applyFont="1" applyBorder="1" applyAlignment="1">
      <alignment horizontal="justify" vertical="top" wrapText="1"/>
    </xf>
    <xf numFmtId="0" fontId="47" fillId="30" borderId="43" xfId="41" applyFont="1" applyFill="1" applyBorder="1" applyAlignment="1">
      <alignment horizontal="justify" vertical="top" wrapText="1"/>
    </xf>
    <xf numFmtId="2" fontId="47" fillId="30" borderId="46" xfId="41" applyNumberFormat="1" applyFont="1" applyFill="1" applyBorder="1" applyAlignment="1">
      <alignment horizontal="left" vertical="center" wrapText="1"/>
    </xf>
    <xf numFmtId="0" fontId="48" fillId="0" borderId="44" xfId="41" applyFont="1" applyBorder="1" applyAlignment="1">
      <alignment vertical="top" wrapText="1"/>
    </xf>
    <xf numFmtId="0" fontId="47" fillId="0" borderId="44" xfId="41" applyFont="1" applyBorder="1" applyAlignment="1">
      <alignment vertical="top" wrapText="1"/>
    </xf>
    <xf numFmtId="10" fontId="47" fillId="0" borderId="47"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2" fontId="15" fillId="0" borderId="0" xfId="41" applyNumberFormat="1" applyFont="1"/>
    <xf numFmtId="0" fontId="47" fillId="0" borderId="48" xfId="41" applyFont="1" applyBorder="1" applyAlignment="1">
      <alignment vertical="top" wrapText="1"/>
    </xf>
    <xf numFmtId="0" fontId="47" fillId="0" borderId="45" xfId="41" applyFont="1" applyBorder="1" applyAlignment="1">
      <alignment vertical="top" wrapText="1"/>
    </xf>
    <xf numFmtId="0" fontId="47" fillId="0" borderId="43" xfId="41" applyFont="1" applyBorder="1" applyAlignment="1">
      <alignment vertical="top" wrapText="1"/>
    </xf>
    <xf numFmtId="0" fontId="47" fillId="0" borderId="43" xfId="41" applyFont="1" applyBorder="1" applyAlignment="1">
      <alignment horizontal="left" vertical="top" wrapText="1"/>
    </xf>
    <xf numFmtId="0" fontId="47" fillId="0" borderId="49" xfId="41" applyFont="1" applyBorder="1" applyAlignment="1">
      <alignment horizontal="left" vertical="top" wrapText="1"/>
    </xf>
    <xf numFmtId="0" fontId="48" fillId="0" borderId="44" xfId="41" applyFont="1" applyBorder="1" applyAlignment="1">
      <alignment horizontal="left" vertical="center" wrapText="1"/>
    </xf>
    <xf numFmtId="0" fontId="47" fillId="0" borderId="49" xfId="41" applyFont="1" applyBorder="1" applyAlignment="1">
      <alignment horizontal="justify" vertical="top" wrapText="1"/>
    </xf>
    <xf numFmtId="0" fontId="47" fillId="0" borderId="47" xfId="41" applyFont="1" applyBorder="1" applyAlignment="1">
      <alignment horizontal="justify" vertical="top" wrapText="1"/>
    </xf>
    <xf numFmtId="14" fontId="47" fillId="0" borderId="49" xfId="41" applyNumberFormat="1" applyFont="1" applyBorder="1" applyAlignment="1">
      <alignment horizontal="justify" vertical="top" wrapText="1"/>
    </xf>
    <xf numFmtId="0" fontId="48" fillId="0" borderId="44" xfId="41" applyFont="1" applyBorder="1" applyAlignment="1">
      <alignment horizontal="center" vertical="center" wrapText="1"/>
    </xf>
    <xf numFmtId="0" fontId="47" fillId="0" borderId="49" xfId="41" applyFont="1" applyBorder="1" applyAlignment="1">
      <alignment vertical="top" wrapText="1"/>
    </xf>
    <xf numFmtId="0" fontId="47" fillId="0" borderId="45" xfId="41" applyFont="1" applyBorder="1"/>
    <xf numFmtId="1" fontId="80" fillId="0" borderId="10" xfId="51" applyNumberFormat="1" applyFont="1" applyBorder="1" applyAlignment="1">
      <alignment horizontal="center" vertical="center" wrapText="1"/>
    </xf>
    <xf numFmtId="14" fontId="80" fillId="0" borderId="10" xfId="51" applyNumberFormat="1" applyFont="1" applyBorder="1" applyAlignment="1">
      <alignment horizontal="center" vertical="center" wrapText="1"/>
    </xf>
    <xf numFmtId="2" fontId="80" fillId="0" borderId="10" xfId="51" applyNumberFormat="1" applyFont="1" applyBorder="1" applyAlignment="1">
      <alignment horizontal="center" vertical="center" wrapText="1"/>
    </xf>
    <xf numFmtId="169" fontId="80" fillId="0" borderId="10" xfId="51" applyNumberFormat="1" applyFont="1" applyBorder="1" applyAlignment="1">
      <alignment horizontal="center" vertical="center" wrapText="1"/>
    </xf>
    <xf numFmtId="0" fontId="80" fillId="0" borderId="0" xfId="51" applyFont="1" applyAlignment="1">
      <alignment wrapText="1"/>
    </xf>
    <xf numFmtId="0" fontId="80" fillId="0" borderId="10" xfId="51" applyNumberFormat="1" applyFont="1" applyBorder="1" applyAlignment="1">
      <alignment horizontal="center" vertical="center" wrapText="1"/>
    </xf>
    <xf numFmtId="0" fontId="47" fillId="31" borderId="43" xfId="41" applyFont="1" applyFill="1" applyBorder="1" applyAlignment="1">
      <alignment horizontal="justify" vertical="top" wrapText="1"/>
    </xf>
    <xf numFmtId="2" fontId="47" fillId="31" borderId="46" xfId="41" applyNumberFormat="1" applyFont="1" applyFill="1" applyBorder="1" applyAlignment="1">
      <alignment horizontal="left" vertical="center" wrapText="1"/>
    </xf>
    <xf numFmtId="0" fontId="47" fillId="32" borderId="43" xfId="41" applyFont="1" applyFill="1" applyBorder="1" applyAlignment="1">
      <alignment horizontal="justify" vertical="top" wrapText="1"/>
    </xf>
    <xf numFmtId="2" fontId="47" fillId="32" borderId="43" xfId="41" applyNumberFormat="1" applyFont="1" applyFill="1" applyBorder="1" applyAlignment="1">
      <alignment horizontal="left" vertical="center" wrapText="1"/>
    </xf>
    <xf numFmtId="0" fontId="47" fillId="0" borderId="43" xfId="41" applyFont="1" applyFill="1" applyBorder="1" applyAlignment="1">
      <alignment horizontal="justify" vertical="top" wrapText="1"/>
    </xf>
    <xf numFmtId="10" fontId="47" fillId="0" borderId="43" xfId="41" applyNumberFormat="1" applyFont="1" applyFill="1" applyBorder="1" applyAlignment="1">
      <alignment horizontal="justify" vertical="top" wrapText="1"/>
    </xf>
    <xf numFmtId="2" fontId="47" fillId="0" borderId="46" xfId="41" applyNumberFormat="1" applyFont="1" applyFill="1" applyBorder="1" applyAlignment="1">
      <alignment horizontal="left" vertical="center"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3" xfId="52" applyNumberFormat="1" applyFont="1" applyBorder="1" applyAlignment="1">
      <alignment horizontal="center" vertical="center"/>
    </xf>
    <xf numFmtId="49" fontId="32" fillId="0" borderId="14" xfId="52" applyNumberFormat="1" applyFont="1" applyBorder="1" applyAlignment="1">
      <alignment horizontal="center" vertical="center"/>
    </xf>
    <xf numFmtId="0" fontId="36" fillId="0" borderId="0" xfId="52" applyFont="1" applyAlignment="1">
      <alignment horizontal="center" vertical="center" wrapText="1"/>
    </xf>
    <xf numFmtId="0" fontId="37" fillId="0" borderId="0" xfId="52" applyFont="1" applyAlignment="1">
      <alignment horizontal="center" vertical="center" wrapText="1"/>
    </xf>
    <xf numFmtId="0" fontId="37" fillId="0" borderId="0" xfId="52" applyFont="1" applyAlignment="1">
      <alignment horizontal="center" vertical="center"/>
    </xf>
    <xf numFmtId="0" fontId="31" fillId="0" borderId="0" xfId="52" applyFont="1" applyAlignment="1">
      <alignment horizontal="center" vertical="center"/>
    </xf>
    <xf numFmtId="0" fontId="34" fillId="0" borderId="0" xfId="52" applyFont="1" applyAlignment="1">
      <alignment horizontal="center" vertical="center"/>
    </xf>
    <xf numFmtId="0" fontId="38" fillId="0" borderId="0" xfId="49" applyFont="1" applyAlignment="1">
      <alignment horizontal="center" wrapText="1"/>
    </xf>
    <xf numFmtId="0" fontId="32" fillId="0" borderId="15" xfId="52" applyFont="1" applyBorder="1" applyAlignment="1">
      <alignment vertical="center"/>
    </xf>
    <xf numFmtId="0" fontId="36" fillId="0" borderId="10"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31" fillId="0" borderId="0" xfId="52" applyFont="1" applyAlignment="1">
      <alignment horizontal="center" vertical="center" wrapText="1"/>
    </xf>
    <xf numFmtId="49" fontId="15" fillId="0" borderId="0" xfId="39" applyNumberFormat="1" applyFont="1" applyAlignment="1">
      <alignment horizontal="left" vertical="top"/>
    </xf>
    <xf numFmtId="0" fontId="15" fillId="0" borderId="15" xfId="39" applyFont="1" applyBorder="1" applyAlignment="1">
      <alignment horizontal="left" vertical="center"/>
    </xf>
    <xf numFmtId="0" fontId="28" fillId="0" borderId="12"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4" xfId="39" applyFont="1" applyBorder="1" applyAlignment="1">
      <alignment horizontal="center" vertical="center" wrapText="1"/>
    </xf>
    <xf numFmtId="0" fontId="45" fillId="0" borderId="0" xfId="52" applyFont="1" applyAlignment="1">
      <alignment horizontal="center" vertical="center"/>
    </xf>
    <xf numFmtId="0" fontId="46" fillId="0" borderId="0" xfId="52" applyFont="1" applyAlignment="1">
      <alignment horizontal="center" vertical="center"/>
    </xf>
    <xf numFmtId="0" fontId="15" fillId="0" borderId="0" xfId="52" applyFont="1" applyAlignment="1">
      <alignment horizontal="center" vertical="center"/>
    </xf>
    <xf numFmtId="0" fontId="26" fillId="0" borderId="0" xfId="52" applyFont="1" applyAlignment="1">
      <alignment horizontal="center" vertical="center"/>
    </xf>
    <xf numFmtId="0" fontId="47" fillId="0" borderId="0" xfId="51" applyFont="1" applyAlignment="1">
      <alignment horizontal="center"/>
    </xf>
    <xf numFmtId="0" fontId="48" fillId="0" borderId="0" xfId="51" applyFont="1" applyAlignment="1">
      <alignment horizontal="center"/>
    </xf>
    <xf numFmtId="0" fontId="49" fillId="0" borderId="11" xfId="0" applyFont="1" applyBorder="1" applyAlignment="1">
      <alignment horizontal="center" vertical="center"/>
    </xf>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49"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3" xfId="52" applyFont="1" applyBorder="1" applyAlignment="1">
      <alignment horizontal="center" vertical="center" wrapText="1"/>
    </xf>
    <xf numFmtId="0" fontId="36" fillId="0" borderId="14" xfId="52" applyFont="1" applyBorder="1" applyAlignment="1">
      <alignment horizontal="center" vertical="center" wrapText="1"/>
    </xf>
    <xf numFmtId="0" fontId="28" fillId="0" borderId="0" xfId="53" applyFont="1" applyAlignment="1">
      <alignment horizontal="center" vertical="center"/>
    </xf>
    <xf numFmtId="0" fontId="38" fillId="0" borderId="0" xfId="52" applyFont="1" applyAlignment="1">
      <alignment horizontal="center" wrapText="1"/>
    </xf>
    <xf numFmtId="0" fontId="61" fillId="0" borderId="11" xfId="55" applyFont="1" applyBorder="1" applyAlignment="1">
      <alignment horizontal="center" vertical="center" wrapText="1"/>
    </xf>
    <xf numFmtId="0" fontId="61" fillId="0" borderId="13" xfId="55" applyFont="1" applyBorder="1" applyAlignment="1">
      <alignment horizontal="center" vertical="center" wrapText="1"/>
    </xf>
    <xf numFmtId="0" fontId="61" fillId="0" borderId="14" xfId="55" applyFont="1" applyBorder="1" applyAlignment="1">
      <alignment horizontal="center" vertical="center" wrapText="1"/>
    </xf>
    <xf numFmtId="4" fontId="61" fillId="0" borderId="11" xfId="55" applyNumberFormat="1" applyFont="1" applyBorder="1" applyAlignment="1">
      <alignment horizontal="center" vertical="center"/>
    </xf>
    <xf numFmtId="4" fontId="61" fillId="0" borderId="14" xfId="55" applyNumberFormat="1" applyFont="1" applyBorder="1" applyAlignment="1">
      <alignment horizontal="center" vertical="center"/>
    </xf>
    <xf numFmtId="0" fontId="67"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4" xfId="39" applyFont="1" applyBorder="1" applyAlignment="1">
      <alignment horizontal="center" vertical="center" wrapText="1"/>
    </xf>
    <xf numFmtId="3" fontId="61" fillId="0" borderId="11" xfId="55" applyNumberFormat="1" applyFont="1" applyBorder="1" applyAlignment="1">
      <alignment horizontal="center" vertical="center"/>
    </xf>
    <xf numFmtId="3" fontId="61" fillId="0" borderId="14" xfId="55" applyNumberFormat="1" applyFont="1" applyBorder="1" applyAlignment="1">
      <alignment horizontal="center" vertical="center"/>
    </xf>
    <xf numFmtId="0" fontId="61" fillId="0" borderId="11" xfId="55" applyFont="1" applyBorder="1" applyAlignment="1">
      <alignment horizontal="center" vertical="center"/>
    </xf>
    <xf numFmtId="0" fontId="61" fillId="0" borderId="13" xfId="55" applyFont="1" applyBorder="1" applyAlignment="1">
      <alignment horizontal="center" vertical="center"/>
    </xf>
    <xf numFmtId="0" fontId="61" fillId="0" borderId="14" xfId="55" applyFont="1" applyBorder="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2"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36" fillId="0" borderId="12" xfId="41" applyFont="1" applyBorder="1" applyAlignment="1">
      <alignment horizontal="center" vertical="center" wrapText="1"/>
    </xf>
    <xf numFmtId="0" fontId="36" fillId="0" borderId="19" xfId="41" applyFont="1" applyBorder="1" applyAlignment="1">
      <alignment horizontal="center" vertical="center" wrapText="1"/>
    </xf>
    <xf numFmtId="0" fontId="36" fillId="0" borderId="16" xfId="41" applyFont="1" applyBorder="1" applyAlignment="1">
      <alignment horizontal="center"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3" xfId="56" applyFont="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8" fillId="0" borderId="0" xfId="51" applyFont="1" applyAlignment="1">
      <alignment horizontal="center"/>
    </xf>
    <xf numFmtId="0" fontId="39" fillId="0" borderId="15" xfId="51" applyFont="1" applyBorder="1" applyAlignment="1">
      <alignment horizontal="center"/>
    </xf>
    <xf numFmtId="0" fontId="36" fillId="0" borderId="12"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4" xfId="51" applyFont="1" applyBorder="1" applyAlignment="1">
      <alignment horizontal="center" vertical="center"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2"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79"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6" fillId="0" borderId="12"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8" fillId="0" borderId="12" xfId="47" applyFont="1" applyBorder="1" applyAlignment="1">
      <alignment horizontal="center" vertical="center" textRotation="90" wrapText="1"/>
    </xf>
    <xf numFmtId="0" fontId="78" fillId="0" borderId="16" xfId="47" applyFont="1" applyBorder="1" applyAlignment="1">
      <alignment horizontal="center" vertical="center" textRotation="90" wrapText="1"/>
    </xf>
    <xf numFmtId="0" fontId="28" fillId="0" borderId="12"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2" xfId="51" applyFont="1" applyBorder="1" applyAlignment="1">
      <alignment horizontal="center" vertical="center"/>
    </xf>
    <xf numFmtId="0" fontId="36" fillId="0" borderId="16" xfId="51" applyFont="1" applyBorder="1" applyAlignment="1">
      <alignment horizontal="center" vertical="center"/>
    </xf>
    <xf numFmtId="0" fontId="45" fillId="0" borderId="0" xfId="41" applyFont="1" applyAlignment="1">
      <alignment horizontal="center"/>
    </xf>
    <xf numFmtId="0" fontId="39" fillId="0" borderId="0" xfId="49" applyFont="1" applyAlignment="1">
      <alignment horizontal="center" vertical="center" wrapText="1"/>
    </xf>
    <xf numFmtId="0" fontId="48" fillId="0" borderId="0" xfId="41" applyFont="1" applyAlignment="1">
      <alignment horizontal="center" wrapText="1"/>
    </xf>
    <xf numFmtId="0" fontId="48" fillId="0" borderId="0" xfId="41" applyFont="1" applyAlignment="1">
      <alignment horizontal="center"/>
    </xf>
    <xf numFmtId="0" fontId="47" fillId="0" borderId="44" xfId="41" applyFont="1" applyBorder="1" applyAlignment="1">
      <alignment horizontal="left" vertical="top" wrapText="1"/>
    </xf>
    <xf numFmtId="0" fontId="47" fillId="0" borderId="48" xfId="41" applyFont="1" applyBorder="1" applyAlignment="1">
      <alignment horizontal="left" vertical="top" wrapText="1"/>
    </xf>
    <xf numFmtId="0" fontId="47" fillId="0" borderId="45" xfId="41" applyFont="1" applyBorder="1" applyAlignment="1">
      <alignment horizontal="left" vertical="top" wrapText="1"/>
    </xf>
    <xf numFmtId="0" fontId="91" fillId="33" borderId="10" xfId="39" applyFont="1" applyFill="1" applyBorder="1" applyAlignment="1">
      <alignment horizontal="center" wrapText="1"/>
    </xf>
    <xf numFmtId="0" fontId="92" fillId="33" borderId="10" xfId="39" applyFont="1" applyFill="1" applyBorder="1" applyAlignment="1">
      <alignment horizontal="center"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20">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-12538596.121796403</c:v>
                </c:pt>
                <c:pt idx="1">
                  <c:v>1762263.7153510682</c:v>
                </c:pt>
                <c:pt idx="2">
                  <c:v>3358632.3686905396</c:v>
                </c:pt>
                <c:pt idx="3">
                  <c:v>4747378.7005274873</c:v>
                </c:pt>
                <c:pt idx="4">
                  <c:v>4528789.3702677274</c:v>
                </c:pt>
                <c:pt idx="5">
                  <c:v>4156494.6199676986</c:v>
                </c:pt>
                <c:pt idx="6">
                  <c:v>3814894.3118884671</c:v>
                </c:pt>
                <c:pt idx="7">
                  <c:v>3501447.0709230849</c:v>
                </c:pt>
                <c:pt idx="8">
                  <c:v>3213823.2184295473</c:v>
                </c:pt>
                <c:pt idx="9">
                  <c:v>2949886.9855410838</c:v>
                </c:pt>
                <c:pt idx="10">
                  <c:v>2707680.2389278477</c:v>
                </c:pt>
                <c:pt idx="11">
                  <c:v>2485407.5882899249</c:v>
                </c:pt>
              </c:numCache>
            </c:numRef>
          </c:val>
          <c:smooth val="0"/>
          <c:extLst>
            <c:ext xmlns:c16="http://schemas.microsoft.com/office/drawing/2014/chart" uri="{C3380CC4-5D6E-409C-BE32-E72D297353CC}">
              <c16:uniqueId val="{00000000-2776-4BB6-8D6E-2966EB484B3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-12538596.121796403</c:v>
                </c:pt>
                <c:pt idx="1">
                  <c:v>-10776332.406445336</c:v>
                </c:pt>
                <c:pt idx="2">
                  <c:v>-7417700.0377547964</c:v>
                </c:pt>
                <c:pt idx="3">
                  <c:v>-2670321.3372273091</c:v>
                </c:pt>
                <c:pt idx="4">
                  <c:v>1858468.0330404183</c:v>
                </c:pt>
                <c:pt idx="5">
                  <c:v>6014962.6530081164</c:v>
                </c:pt>
                <c:pt idx="6">
                  <c:v>9829856.9648965839</c:v>
                </c:pt>
                <c:pt idx="7">
                  <c:v>13331304.035819668</c:v>
                </c:pt>
                <c:pt idx="8">
                  <c:v>16545127.254249215</c:v>
                </c:pt>
                <c:pt idx="9">
                  <c:v>19495014.239790298</c:v>
                </c:pt>
                <c:pt idx="10">
                  <c:v>22202694.478718147</c:v>
                </c:pt>
                <c:pt idx="11">
                  <c:v>24688102.067008071</c:v>
                </c:pt>
              </c:numCache>
            </c:numRef>
          </c:val>
          <c:smooth val="0"/>
          <c:extLst>
            <c:ext xmlns:c16="http://schemas.microsoft.com/office/drawing/2014/chart" uri="{C3380CC4-5D6E-409C-BE32-E72D297353CC}">
              <c16:uniqueId val="{00000001-2776-4BB6-8D6E-2966EB484B3A}"/>
            </c:ext>
          </c:extLst>
        </c:ser>
        <c:dLbls>
          <c:showLegendKey val="0"/>
          <c:showVal val="0"/>
          <c:showCatName val="0"/>
          <c:showSerName val="0"/>
          <c:showPercent val="0"/>
          <c:showBubbleSize val="0"/>
        </c:dLbls>
        <c:smooth val="0"/>
        <c:axId val="1707006816"/>
        <c:axId val="1707016064"/>
      </c:lineChart>
      <c:catAx>
        <c:axId val="170700681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707016064"/>
        <c:crosses val="autoZero"/>
        <c:auto val="1"/>
        <c:lblAlgn val="ctr"/>
        <c:lblOffset val="100"/>
        <c:noMultiLvlLbl val="0"/>
      </c:catAx>
      <c:valAx>
        <c:axId val="170701606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707006816"/>
        <c:crosses val="autoZero"/>
        <c:crossBetween val="between"/>
      </c:valAx>
    </c:plotArea>
    <c:legend>
      <c:legendPos val="r"/>
      <c:layout>
        <c:manualLayout>
          <c:xMode val="edge"/>
          <c:yMode val="edge"/>
          <c:x val="0.30660399999999999"/>
          <c:y val="0.89000100000000004"/>
          <c:w val="0.27412199999999998"/>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7;&#1056;&#1069;&#1057;\&#1055;&#1058;&#1054;\&#1059;&#1069;&#1056;&#1057;\&#1047;&#1040;&#1050;&#1056;&#1067;&#1058;&#1040;&#1071;\&#1048;&#1085;&#1074;&#1077;&#1089;&#1090;&#1087;&#1088;&#1086;&#1075;&#1088;&#1072;&#1084;&#1084;&#1072;%202019-2023\2022%20&#1075;.%20&#1058;&#1047;%20&#1087;&#1086;%20&#1078;&#1072;&#1083;&#1086;&#1073;&#1072;&#1084;%20&#1080;%20&#1085;&#1072;&#1076;&#1077;&#1078;&#1085;&#1086;&#1089;&#1090;&#1080;\&#1043;&#1091;&#1088;&#1100;&#1077;&#1074;&#1089;&#1082;&#1080;&#1081;%20&#1057;&#1059;\&#1058;&#1047;%2012-22-20%20&#1058;&#1055;%2053-10%20&#1087;.%20&#1056;&#1072;&#1089;&#1089;&#1074;&#1077;&#1090;\&#1055;&#1072;&#1089;&#1087;&#1086;&#1088;&#1090;%20&#1048;&#1055;%20&#1058;&#1047;%2012-22-20%20&#1087;.%20&#1056;&#1072;&#1089;&#1089;&#1074;&#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row r="25">
          <cell r="D25" t="str">
            <v>трансформатор силовой масляный</v>
          </cell>
          <cell r="Q25" t="str">
            <v>2018 г. ООО "ЭнЭкА"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6"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34" t="s">
        <v>3</v>
      </c>
      <c r="B5" s="334"/>
      <c r="C5" s="334"/>
      <c r="D5" s="8"/>
      <c r="E5" s="8"/>
      <c r="F5" s="8"/>
      <c r="G5" s="8"/>
      <c r="H5" s="8"/>
      <c r="I5" s="8"/>
      <c r="J5" s="8"/>
    </row>
    <row r="6" spans="1:22" s="2" customFormat="1" ht="18.75" x14ac:dyDescent="0.3">
      <c r="A6" s="6"/>
      <c r="H6" s="5"/>
    </row>
    <row r="7" spans="1:22" s="2" customFormat="1" ht="18.75" x14ac:dyDescent="0.2">
      <c r="A7" s="335" t="s">
        <v>4</v>
      </c>
      <c r="B7" s="335"/>
      <c r="C7" s="335"/>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36" t="s">
        <v>5</v>
      </c>
      <c r="B9" s="336"/>
      <c r="C9" s="336"/>
      <c r="D9" s="11"/>
      <c r="E9" s="11"/>
      <c r="F9" s="11"/>
      <c r="G9" s="11"/>
      <c r="H9" s="11"/>
      <c r="I9" s="10"/>
      <c r="J9" s="10"/>
      <c r="K9" s="10"/>
      <c r="L9" s="10"/>
      <c r="M9" s="10"/>
      <c r="N9" s="10"/>
      <c r="O9" s="10"/>
      <c r="P9" s="10"/>
      <c r="Q9" s="10"/>
      <c r="R9" s="10"/>
      <c r="S9" s="10"/>
      <c r="T9" s="10"/>
      <c r="U9" s="10"/>
      <c r="V9" s="10"/>
    </row>
    <row r="10" spans="1:22" s="2" customFormat="1" ht="18.75" x14ac:dyDescent="0.2">
      <c r="A10" s="337" t="s">
        <v>6</v>
      </c>
      <c r="B10" s="337"/>
      <c r="C10" s="337"/>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38" t="s">
        <v>7</v>
      </c>
      <c r="B12" s="338"/>
      <c r="C12" s="338"/>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37" t="s">
        <v>8</v>
      </c>
      <c r="B13" s="337"/>
      <c r="C13" s="337"/>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81" customHeight="1" x14ac:dyDescent="0.2">
      <c r="A15" s="342" t="s">
        <v>9</v>
      </c>
      <c r="B15" s="342"/>
      <c r="C15" s="342"/>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37" t="s">
        <v>10</v>
      </c>
      <c r="B16" s="337"/>
      <c r="C16" s="337"/>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43" t="s">
        <v>11</v>
      </c>
      <c r="B18" s="344"/>
      <c r="C18" s="344"/>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64.5" customHeight="1" x14ac:dyDescent="0.2">
      <c r="A23" s="21" t="s">
        <v>18</v>
      </c>
      <c r="B23" s="22" t="s">
        <v>19</v>
      </c>
      <c r="C23" s="20" t="s">
        <v>20</v>
      </c>
      <c r="D23" s="12"/>
      <c r="E23" s="12"/>
      <c r="F23" s="12"/>
      <c r="G23" s="12"/>
      <c r="H23" s="12"/>
      <c r="I23" s="13"/>
      <c r="J23" s="13"/>
      <c r="K23" s="13"/>
      <c r="L23" s="13"/>
      <c r="M23" s="13"/>
      <c r="N23" s="13"/>
      <c r="O23" s="13"/>
      <c r="P23" s="13"/>
      <c r="Q23" s="13"/>
      <c r="R23" s="13"/>
      <c r="S23" s="13"/>
    </row>
    <row r="24" spans="1:22" s="14" customFormat="1" ht="22.5" customHeight="1" x14ac:dyDescent="0.2">
      <c r="A24" s="339"/>
      <c r="B24" s="340"/>
      <c r="C24" s="341"/>
      <c r="D24" s="12"/>
      <c r="E24" s="12"/>
      <c r="F24" s="12"/>
      <c r="G24" s="12"/>
      <c r="H24" s="12"/>
      <c r="I24" s="13"/>
      <c r="J24" s="13"/>
      <c r="K24" s="13"/>
      <c r="L24" s="13"/>
      <c r="M24" s="13"/>
      <c r="N24" s="13"/>
      <c r="O24" s="13"/>
      <c r="P24" s="13"/>
      <c r="Q24" s="13"/>
      <c r="R24" s="13"/>
      <c r="S24" s="13"/>
    </row>
    <row r="25" spans="1:22" s="14" customFormat="1" ht="58.5" customHeight="1" x14ac:dyDescent="0.2">
      <c r="A25" s="23" t="s">
        <v>21</v>
      </c>
      <c r="B25" s="20"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3" t="s">
        <v>24</v>
      </c>
      <c r="B26" s="20"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3" t="s">
        <v>27</v>
      </c>
      <c r="B27" s="20" t="s">
        <v>28</v>
      </c>
      <c r="C27" s="24" t="s">
        <v>29</v>
      </c>
      <c r="D27" s="12"/>
      <c r="E27" s="12"/>
      <c r="F27" s="12"/>
      <c r="G27" s="12"/>
      <c r="H27" s="13"/>
      <c r="I27" s="13"/>
      <c r="J27" s="13"/>
      <c r="K27" s="13"/>
      <c r="L27" s="13"/>
      <c r="M27" s="13"/>
      <c r="N27" s="13"/>
      <c r="O27" s="13"/>
      <c r="P27" s="13"/>
      <c r="Q27" s="13"/>
      <c r="R27" s="13"/>
    </row>
    <row r="28" spans="1:22" s="14" customFormat="1" ht="42.75" customHeight="1" x14ac:dyDescent="0.2">
      <c r="A28" s="23" t="s">
        <v>30</v>
      </c>
      <c r="B28" s="20"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3" t="s">
        <v>33</v>
      </c>
      <c r="B29" s="20"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3" t="s">
        <v>35</v>
      </c>
      <c r="B30" s="20"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3" t="s">
        <v>37</v>
      </c>
      <c r="B31" s="20"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3" t="s">
        <v>39</v>
      </c>
      <c r="B32" s="20"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3" t="s">
        <v>41</v>
      </c>
      <c r="B33" s="20" t="s">
        <v>42</v>
      </c>
      <c r="C33" s="20" t="s">
        <v>43</v>
      </c>
      <c r="D33" s="12"/>
      <c r="E33" s="12"/>
      <c r="F33" s="12"/>
      <c r="G33" s="12"/>
      <c r="H33" s="13"/>
      <c r="I33" s="13"/>
      <c r="J33" s="13"/>
      <c r="K33" s="13"/>
      <c r="L33" s="13"/>
      <c r="M33" s="13"/>
      <c r="N33" s="13"/>
      <c r="O33" s="13"/>
      <c r="P33" s="13"/>
      <c r="Q33" s="13"/>
      <c r="R33" s="13"/>
    </row>
    <row r="34" spans="1:18" ht="111" customHeight="1" x14ac:dyDescent="0.25">
      <c r="A34" s="23" t="s">
        <v>44</v>
      </c>
      <c r="B34" s="20" t="s">
        <v>45</v>
      </c>
      <c r="C34" s="16" t="s">
        <v>43</v>
      </c>
    </row>
    <row r="35" spans="1:18" ht="58.5" customHeight="1" x14ac:dyDescent="0.25">
      <c r="A35" s="23" t="s">
        <v>46</v>
      </c>
      <c r="B35" s="20" t="s">
        <v>47</v>
      </c>
      <c r="C35" s="16" t="s">
        <v>48</v>
      </c>
    </row>
    <row r="36" spans="1:18" ht="51.75" customHeight="1" x14ac:dyDescent="0.25">
      <c r="A36" s="23" t="s">
        <v>49</v>
      </c>
      <c r="B36" s="20" t="s">
        <v>50</v>
      </c>
      <c r="C36" s="16" t="s">
        <v>32</v>
      </c>
    </row>
    <row r="37" spans="1:18" ht="43.5" customHeight="1" x14ac:dyDescent="0.25">
      <c r="A37" s="23" t="s">
        <v>51</v>
      </c>
      <c r="B37" s="20" t="s">
        <v>52</v>
      </c>
      <c r="C37" s="16" t="s">
        <v>53</v>
      </c>
    </row>
    <row r="38" spans="1:18" ht="43.5" customHeight="1" x14ac:dyDescent="0.25">
      <c r="A38" s="23" t="s">
        <v>54</v>
      </c>
      <c r="B38" s="20" t="s">
        <v>55</v>
      </c>
      <c r="C38" s="16" t="s">
        <v>48</v>
      </c>
    </row>
    <row r="39" spans="1:18" ht="23.25" customHeight="1" x14ac:dyDescent="0.25">
      <c r="A39" s="339"/>
      <c r="B39" s="340"/>
      <c r="C39" s="341"/>
    </row>
    <row r="40" spans="1:18" ht="63" x14ac:dyDescent="0.25">
      <c r="A40" s="23" t="s">
        <v>56</v>
      </c>
      <c r="B40" s="20" t="s">
        <v>57</v>
      </c>
      <c r="C40" s="16" t="s">
        <v>58</v>
      </c>
    </row>
    <row r="41" spans="1:18" ht="105.75" customHeight="1" x14ac:dyDescent="0.25">
      <c r="A41" s="23" t="s">
        <v>59</v>
      </c>
      <c r="B41" s="20" t="s">
        <v>60</v>
      </c>
      <c r="C41" s="16" t="s">
        <v>61</v>
      </c>
    </row>
    <row r="42" spans="1:18" ht="83.25" customHeight="1" x14ac:dyDescent="0.25">
      <c r="A42" s="23" t="s">
        <v>62</v>
      </c>
      <c r="B42" s="20" t="s">
        <v>63</v>
      </c>
      <c r="C42" s="16" t="s">
        <v>61</v>
      </c>
    </row>
    <row r="43" spans="1:18" ht="186" customHeight="1" x14ac:dyDescent="0.25">
      <c r="A43" s="23" t="s">
        <v>64</v>
      </c>
      <c r="B43" s="20" t="s">
        <v>65</v>
      </c>
      <c r="C43" s="16" t="s">
        <v>23</v>
      </c>
    </row>
    <row r="44" spans="1:18" ht="111" customHeight="1" x14ac:dyDescent="0.25">
      <c r="A44" s="23" t="s">
        <v>66</v>
      </c>
      <c r="B44" s="20" t="s">
        <v>67</v>
      </c>
      <c r="C44" s="16" t="s">
        <v>23</v>
      </c>
    </row>
    <row r="45" spans="1:18" ht="89.25" customHeight="1" x14ac:dyDescent="0.25">
      <c r="A45" s="23" t="s">
        <v>68</v>
      </c>
      <c r="B45" s="20" t="s">
        <v>69</v>
      </c>
      <c r="C45" s="16" t="s">
        <v>23</v>
      </c>
    </row>
    <row r="46" spans="1:18" ht="101.25" customHeight="1" x14ac:dyDescent="0.25">
      <c r="A46" s="23" t="s">
        <v>70</v>
      </c>
      <c r="B46" s="20" t="s">
        <v>71</v>
      </c>
      <c r="C46" s="16" t="s">
        <v>72</v>
      </c>
      <c r="E46" s="25"/>
    </row>
    <row r="47" spans="1:18" ht="18.75" customHeight="1" x14ac:dyDescent="0.25">
      <c r="A47" s="339"/>
      <c r="B47" s="340"/>
      <c r="C47" s="341"/>
    </row>
    <row r="48" spans="1:18" ht="75.75" customHeight="1" x14ac:dyDescent="0.25">
      <c r="A48" s="23" t="s">
        <v>73</v>
      </c>
      <c r="B48" s="20" t="s">
        <v>74</v>
      </c>
      <c r="C48" s="26" t="str">
        <f>CONCATENATE(ROUND('6.2. Паспорт фин осв ввод'!AC24,2)," млн рублей")</f>
        <v>0,34 млн рублей</v>
      </c>
    </row>
    <row r="49" spans="1:3" ht="71.25" customHeight="1" x14ac:dyDescent="0.25">
      <c r="A49" s="23" t="s">
        <v>75</v>
      </c>
      <c r="B49" s="20" t="s">
        <v>76</v>
      </c>
      <c r="C49" s="26" t="str">
        <f>CONCATENATE(ROUND('6.2. Паспорт фин осв ввод'!AC30,2)," млн рублей")</f>
        <v>0,4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F200E8-006B-466E-9C0F-00C800EE0021}">
      <formula1>список</formula1>
    </dataValidation>
    <dataValidation type="list" allowBlank="1" showInputMessage="1" showErrorMessage="1" sqref="C23" xr:uid="{00560012-0092-43D4-A588-000C00660060}">
      <formula1>список1</formula1>
    </dataValidation>
    <dataValidation type="list" allowBlank="1" showInputMessage="1" showErrorMessage="1" sqref="C27" xr:uid="{00DA0098-0010-47AF-A234-0055004000B1}">
      <formula1>список2</formula1>
    </dataValidation>
    <dataValidation type="list" allowBlank="1" showInputMessage="1" showErrorMessage="1" sqref="C36:C38 C28:C32 C41:C42" xr:uid="{001E002F-0069-4EFC-A7FC-0055006500B4}">
      <formula1>список6</formula1>
    </dataValidation>
    <dataValidation type="list" allowBlank="1" showInputMessage="1" showErrorMessage="1" sqref="C33:C34" xr:uid="{00C300B8-0073-4A62-A8E7-008B00F70057}">
      <formula1>список7</formula1>
    </dataValidation>
    <dataValidation type="list" allowBlank="1" showInputMessage="1" showErrorMessage="1" sqref="C35" xr:uid="{00080004-00FE-4057-A22C-00EC00C500DA}">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7" ySplit="5" topLeftCell="H25" activePane="bottomRight" state="frozen"/>
      <selection activeCell="N27" sqref="N27:O27"/>
      <selection pane="topRight" activeCell="A20" sqref="A20"/>
      <selection pane="bottomLeft" activeCell="A20" sqref="A20"/>
      <selection pane="bottomRight" activeCell="N27" sqref="N27:O27"/>
    </sheetView>
  </sheetViews>
  <sheetFormatPr defaultColWidth="9.140625" defaultRowHeight="15.75" x14ac:dyDescent="0.25"/>
  <cols>
    <col min="1" max="1" width="9.140625" style="220"/>
    <col min="2" max="2" width="57.85546875" style="220" customWidth="1"/>
    <col min="3" max="3" width="13" style="220" customWidth="1"/>
    <col min="4" max="4" width="17.85546875" style="220" customWidth="1"/>
    <col min="5" max="5" width="20.42578125" style="220" customWidth="1"/>
    <col min="6" max="6" width="18.7109375" style="220" customWidth="1"/>
    <col min="7" max="7" width="12.85546875" style="220" customWidth="1"/>
    <col min="8" max="27" width="9" style="220" customWidth="1"/>
    <col min="28" max="28" width="13.140625" style="220" customWidth="1"/>
    <col min="29" max="29" width="24.85546875" style="220" customWidth="1"/>
    <col min="30" max="30" width="13.28515625" style="220" customWidth="1"/>
    <col min="31" max="31" width="11" style="220" bestFit="1" customWidth="1"/>
    <col min="32" max="16384" width="9.140625" style="220"/>
  </cols>
  <sheetData>
    <row r="1" spans="1:29" ht="18.75" x14ac:dyDescent="0.25">
      <c r="AC1" s="4" t="s">
        <v>0</v>
      </c>
    </row>
    <row r="2" spans="1:29" ht="18.75" x14ac:dyDescent="0.3">
      <c r="AC2" s="5" t="s">
        <v>1</v>
      </c>
    </row>
    <row r="3" spans="1:29" ht="18.75" x14ac:dyDescent="0.3">
      <c r="AC3" s="5" t="s">
        <v>141</v>
      </c>
    </row>
    <row r="4" spans="1:29" ht="18.75" customHeight="1" x14ac:dyDescent="0.25">
      <c r="A4" s="334" t="str">
        <f>'1. паспорт местоположение'!A5:C5</f>
        <v>Год раскрытия информации: 2025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row>
    <row r="5" spans="1:29" ht="18.75" x14ac:dyDescent="0.3">
      <c r="AC5" s="5"/>
    </row>
    <row r="6" spans="1:29" ht="18.75" x14ac:dyDescent="0.25">
      <c r="A6" s="335" t="s">
        <v>4</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10"/>
      <c r="B7" s="10"/>
      <c r="C7" s="10"/>
      <c r="D7" s="10"/>
      <c r="E7" s="10"/>
      <c r="F7" s="10"/>
      <c r="G7" s="10"/>
      <c r="H7" s="10"/>
      <c r="I7" s="10"/>
      <c r="J7" s="240"/>
      <c r="K7" s="240"/>
      <c r="L7" s="240"/>
      <c r="M7" s="240"/>
      <c r="N7" s="240"/>
      <c r="O7" s="240"/>
      <c r="P7" s="240"/>
      <c r="Q7" s="240"/>
      <c r="R7" s="240"/>
      <c r="S7" s="240"/>
      <c r="T7" s="240"/>
      <c r="U7" s="240"/>
      <c r="V7" s="240"/>
      <c r="W7" s="240"/>
      <c r="X7" s="240"/>
      <c r="Y7" s="240"/>
      <c r="Z7" s="240"/>
      <c r="AA7" s="240"/>
      <c r="AB7" s="240"/>
      <c r="AC7" s="240"/>
    </row>
    <row r="8" spans="1:29" x14ac:dyDescent="0.25">
      <c r="A8" s="345" t="str">
        <f>'1. паспорт местоположение'!A9:C9</f>
        <v>Акционерное общество "Россети Янтарь" ДЗО  ПАО "Россети"</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row>
    <row r="10" spans="1:29" ht="18.75" x14ac:dyDescent="0.25">
      <c r="A10" s="10"/>
      <c r="B10" s="10"/>
      <c r="C10" s="10"/>
      <c r="D10" s="10"/>
      <c r="E10" s="10"/>
      <c r="F10" s="10"/>
      <c r="G10" s="10"/>
      <c r="H10" s="10"/>
      <c r="I10" s="10"/>
      <c r="J10" s="240"/>
      <c r="K10" s="240"/>
      <c r="L10" s="240"/>
      <c r="M10" s="240"/>
      <c r="N10" s="240"/>
      <c r="O10" s="240"/>
      <c r="P10" s="240"/>
      <c r="Q10" s="240"/>
      <c r="R10" s="240"/>
      <c r="S10" s="240"/>
      <c r="T10" s="240"/>
      <c r="U10" s="240"/>
      <c r="V10" s="240"/>
      <c r="W10" s="240"/>
      <c r="X10" s="240"/>
      <c r="Y10" s="240"/>
      <c r="Z10" s="240"/>
      <c r="AA10" s="240"/>
      <c r="AB10" s="240"/>
      <c r="AC10" s="240"/>
    </row>
    <row r="11" spans="1:29" x14ac:dyDescent="0.25">
      <c r="A11" s="345" t="str">
        <f>'1. паспорт местоположение'!A12:C12</f>
        <v>N_22-1313</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37" t="s">
        <v>8</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row>
    <row r="13" spans="1:29" ht="16.5" customHeight="1" x14ac:dyDescent="0.3">
      <c r="A13" s="241"/>
      <c r="B13" s="241"/>
      <c r="C13" s="241"/>
      <c r="D13" s="241"/>
      <c r="E13" s="241"/>
      <c r="F13" s="241"/>
      <c r="G13" s="241"/>
      <c r="H13" s="241"/>
      <c r="I13" s="241"/>
      <c r="J13" s="242"/>
      <c r="K13" s="242"/>
      <c r="L13" s="242"/>
      <c r="M13" s="242"/>
      <c r="N13" s="242"/>
      <c r="O13" s="242"/>
      <c r="P13" s="242"/>
      <c r="Q13" s="242"/>
      <c r="R13" s="242"/>
      <c r="S13" s="242"/>
      <c r="T13" s="242"/>
      <c r="U13" s="242"/>
      <c r="V13" s="242"/>
      <c r="W13" s="242"/>
      <c r="X13" s="242"/>
      <c r="Y13" s="242"/>
      <c r="Z13" s="242"/>
      <c r="AA13" s="242"/>
      <c r="AB13" s="242"/>
      <c r="AC13" s="242"/>
    </row>
    <row r="14" spans="1:29" ht="45.75" customHeight="1" x14ac:dyDescent="0.25">
      <c r="A14" s="35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337" t="s">
        <v>10</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8" spans="1:32" x14ac:dyDescent="0.25">
      <c r="A18" s="408" t="s">
        <v>417</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20" spans="1:32" ht="33" customHeight="1" x14ac:dyDescent="0.25">
      <c r="A20" s="401" t="s">
        <v>418</v>
      </c>
      <c r="B20" s="401" t="s">
        <v>419</v>
      </c>
      <c r="C20" s="399" t="s">
        <v>420</v>
      </c>
      <c r="D20" s="399"/>
      <c r="E20" s="400" t="s">
        <v>421</v>
      </c>
      <c r="F20" s="400"/>
      <c r="G20" s="409" t="s">
        <v>422</v>
      </c>
      <c r="H20" s="413" t="s">
        <v>423</v>
      </c>
      <c r="I20" s="414"/>
      <c r="J20" s="414"/>
      <c r="K20" s="414"/>
      <c r="L20" s="413" t="s">
        <v>424</v>
      </c>
      <c r="M20" s="414"/>
      <c r="N20" s="414"/>
      <c r="O20" s="414"/>
      <c r="P20" s="413" t="s">
        <v>425</v>
      </c>
      <c r="Q20" s="414"/>
      <c r="R20" s="414"/>
      <c r="S20" s="414"/>
      <c r="T20" s="413" t="s">
        <v>426</v>
      </c>
      <c r="U20" s="414"/>
      <c r="V20" s="414"/>
      <c r="W20" s="414"/>
      <c r="X20" s="413" t="s">
        <v>427</v>
      </c>
      <c r="Y20" s="414"/>
      <c r="Z20" s="414"/>
      <c r="AA20" s="414"/>
      <c r="AB20" s="412" t="s">
        <v>428</v>
      </c>
      <c r="AC20" s="412"/>
      <c r="AD20" s="243"/>
      <c r="AE20" s="243"/>
      <c r="AF20" s="243"/>
    </row>
    <row r="21" spans="1:32" ht="99.75" customHeight="1" x14ac:dyDescent="0.25">
      <c r="A21" s="402"/>
      <c r="B21" s="402"/>
      <c r="C21" s="399"/>
      <c r="D21" s="399"/>
      <c r="E21" s="400"/>
      <c r="F21" s="400"/>
      <c r="G21" s="410"/>
      <c r="H21" s="399" t="s">
        <v>356</v>
      </c>
      <c r="I21" s="399"/>
      <c r="J21" s="399" t="s">
        <v>357</v>
      </c>
      <c r="K21" s="399"/>
      <c r="L21" s="399" t="s">
        <v>356</v>
      </c>
      <c r="M21" s="399"/>
      <c r="N21" s="399" t="s">
        <v>357</v>
      </c>
      <c r="O21" s="399"/>
      <c r="P21" s="399" t="s">
        <v>356</v>
      </c>
      <c r="Q21" s="399"/>
      <c r="R21" s="399" t="s">
        <v>357</v>
      </c>
      <c r="S21" s="399"/>
      <c r="T21" s="399" t="s">
        <v>356</v>
      </c>
      <c r="U21" s="399"/>
      <c r="V21" s="399" t="s">
        <v>357</v>
      </c>
      <c r="W21" s="399"/>
      <c r="X21" s="399" t="s">
        <v>356</v>
      </c>
      <c r="Y21" s="399"/>
      <c r="Z21" s="399" t="s">
        <v>357</v>
      </c>
      <c r="AA21" s="399"/>
      <c r="AB21" s="412"/>
      <c r="AC21" s="412"/>
    </row>
    <row r="22" spans="1:32" ht="89.25" customHeight="1" x14ac:dyDescent="0.25">
      <c r="A22" s="403"/>
      <c r="B22" s="403"/>
      <c r="C22" s="226" t="s">
        <v>356</v>
      </c>
      <c r="D22" s="226" t="s">
        <v>429</v>
      </c>
      <c r="E22" s="244" t="s">
        <v>430</v>
      </c>
      <c r="F22" s="244" t="s">
        <v>431</v>
      </c>
      <c r="G22" s="411"/>
      <c r="H22" s="245" t="s">
        <v>432</v>
      </c>
      <c r="I22" s="245" t="s">
        <v>433</v>
      </c>
      <c r="J22" s="245" t="s">
        <v>432</v>
      </c>
      <c r="K22" s="245" t="s">
        <v>433</v>
      </c>
      <c r="L22" s="245" t="s">
        <v>432</v>
      </c>
      <c r="M22" s="245" t="s">
        <v>433</v>
      </c>
      <c r="N22" s="245" t="s">
        <v>432</v>
      </c>
      <c r="O22" s="245" t="s">
        <v>433</v>
      </c>
      <c r="P22" s="245" t="s">
        <v>432</v>
      </c>
      <c r="Q22" s="245" t="s">
        <v>433</v>
      </c>
      <c r="R22" s="245" t="s">
        <v>432</v>
      </c>
      <c r="S22" s="245" t="s">
        <v>433</v>
      </c>
      <c r="T22" s="245" t="s">
        <v>432</v>
      </c>
      <c r="U22" s="245" t="s">
        <v>433</v>
      </c>
      <c r="V22" s="245" t="s">
        <v>432</v>
      </c>
      <c r="W22" s="245" t="s">
        <v>433</v>
      </c>
      <c r="X22" s="245" t="s">
        <v>432</v>
      </c>
      <c r="Y22" s="245" t="s">
        <v>433</v>
      </c>
      <c r="Z22" s="245" t="s">
        <v>432</v>
      </c>
      <c r="AA22" s="245" t="s">
        <v>433</v>
      </c>
      <c r="AB22" s="226" t="s">
        <v>356</v>
      </c>
      <c r="AC22" s="226" t="s">
        <v>357</v>
      </c>
    </row>
    <row r="23" spans="1:32" ht="19.5" customHeight="1" x14ac:dyDescent="0.25">
      <c r="A23" s="225">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c r="AC23" s="225">
        <v>29</v>
      </c>
    </row>
    <row r="24" spans="1:32" ht="47.25" customHeight="1" x14ac:dyDescent="0.25">
      <c r="A24" s="246">
        <v>1</v>
      </c>
      <c r="B24" s="247" t="s">
        <v>434</v>
      </c>
      <c r="C24" s="248">
        <f>SUM(C25:C29)</f>
        <v>16.044621979999999</v>
      </c>
      <c r="D24" s="248">
        <f t="shared" ref="D24:F24" si="0">SUM(D25:D29)</f>
        <v>0</v>
      </c>
      <c r="E24" s="248">
        <f t="shared" si="0"/>
        <v>16.044621979999999</v>
      </c>
      <c r="F24" s="248">
        <f t="shared" si="0"/>
        <v>16.044621979999999</v>
      </c>
      <c r="G24" s="248">
        <f t="shared" ref="G24:AA24" si="1">SUM(G25:G29)</f>
        <v>0</v>
      </c>
      <c r="H24" s="248">
        <f t="shared" si="1"/>
        <v>0.33260898999999999</v>
      </c>
      <c r="I24" s="248">
        <f>SUM(I25:I29)</f>
        <v>0</v>
      </c>
      <c r="J24" s="248">
        <f t="shared" si="1"/>
        <v>0</v>
      </c>
      <c r="K24" s="248">
        <f t="shared" si="1"/>
        <v>0</v>
      </c>
      <c r="L24" s="248">
        <f t="shared" si="1"/>
        <v>11.104819620000001</v>
      </c>
      <c r="M24" s="248">
        <f t="shared" si="1"/>
        <v>0</v>
      </c>
      <c r="N24" s="248">
        <f t="shared" si="1"/>
        <v>0.34076766999999997</v>
      </c>
      <c r="O24" s="248">
        <f t="shared" si="1"/>
        <v>1.2448760000000003E-2</v>
      </c>
      <c r="P24" s="248">
        <f>SUM(P25:P29)</f>
        <v>4.6071933700000001</v>
      </c>
      <c r="Q24" s="248">
        <f t="shared" ref="Q24:S24" si="2">SUM(Q25:Q29)</f>
        <v>0</v>
      </c>
      <c r="R24" s="248">
        <f>SUM(R25:R29)</f>
        <v>0</v>
      </c>
      <c r="S24" s="248">
        <f t="shared" si="2"/>
        <v>0</v>
      </c>
      <c r="T24" s="248">
        <f t="shared" si="1"/>
        <v>0</v>
      </c>
      <c r="U24" s="248">
        <f t="shared" si="1"/>
        <v>0</v>
      </c>
      <c r="V24" s="248">
        <f t="shared" si="1"/>
        <v>0</v>
      </c>
      <c r="W24" s="248">
        <f t="shared" si="1"/>
        <v>0</v>
      </c>
      <c r="X24" s="248">
        <f>SUM(X25:X29)</f>
        <v>0</v>
      </c>
      <c r="Y24" s="248">
        <f t="shared" si="1"/>
        <v>0</v>
      </c>
      <c r="Z24" s="248">
        <f t="shared" si="1"/>
        <v>0</v>
      </c>
      <c r="AA24" s="248">
        <f t="shared" si="1"/>
        <v>0</v>
      </c>
      <c r="AB24" s="248">
        <f t="shared" ref="AB24:AB64" si="3">H24+L24+P24+T24+X24</f>
        <v>16.044621980000002</v>
      </c>
      <c r="AC24" s="249">
        <f t="shared" ref="AC24:AC64" si="4">J24+N24+R24+V24+Z24</f>
        <v>0.34076766999999997</v>
      </c>
    </row>
    <row r="25" spans="1:32" ht="24" customHeight="1" x14ac:dyDescent="0.25">
      <c r="A25" s="250" t="s">
        <v>435</v>
      </c>
      <c r="B25" s="251" t="s">
        <v>436</v>
      </c>
      <c r="C25" s="248">
        <v>0</v>
      </c>
      <c r="D25" s="248">
        <v>0</v>
      </c>
      <c r="E25" s="252">
        <f t="shared" ref="E25:E29" si="5">C25</f>
        <v>0</v>
      </c>
      <c r="F25" s="248">
        <f t="shared" ref="F25:F64" si="6">E25-G25-J25</f>
        <v>0</v>
      </c>
      <c r="G25" s="253">
        <v>0</v>
      </c>
      <c r="H25" s="253">
        <v>0</v>
      </c>
      <c r="I25" s="253">
        <v>0</v>
      </c>
      <c r="J25" s="253">
        <v>0</v>
      </c>
      <c r="K25" s="253">
        <v>0</v>
      </c>
      <c r="L25" s="253">
        <v>0</v>
      </c>
      <c r="M25" s="253">
        <v>0</v>
      </c>
      <c r="N25" s="253">
        <v>0</v>
      </c>
      <c r="O25" s="253">
        <v>0</v>
      </c>
      <c r="P25" s="253">
        <v>0</v>
      </c>
      <c r="Q25" s="253">
        <v>0</v>
      </c>
      <c r="R25" s="253">
        <v>0</v>
      </c>
      <c r="S25" s="253">
        <v>0</v>
      </c>
      <c r="T25" s="253">
        <v>0</v>
      </c>
      <c r="U25" s="253">
        <v>0</v>
      </c>
      <c r="V25" s="253">
        <v>0</v>
      </c>
      <c r="W25" s="253">
        <v>0</v>
      </c>
      <c r="X25" s="253">
        <v>0</v>
      </c>
      <c r="Y25" s="253">
        <v>0</v>
      </c>
      <c r="Z25" s="253">
        <v>0</v>
      </c>
      <c r="AA25" s="253">
        <v>0</v>
      </c>
      <c r="AB25" s="248">
        <f t="shared" si="3"/>
        <v>0</v>
      </c>
      <c r="AC25" s="249">
        <f t="shared" si="4"/>
        <v>0</v>
      </c>
    </row>
    <row r="26" spans="1:32" x14ac:dyDescent="0.25">
      <c r="A26" s="250" t="s">
        <v>437</v>
      </c>
      <c r="B26" s="251" t="s">
        <v>438</v>
      </c>
      <c r="C26" s="248">
        <v>0</v>
      </c>
      <c r="D26" s="248">
        <v>0</v>
      </c>
      <c r="E26" s="252">
        <f t="shared" si="5"/>
        <v>0</v>
      </c>
      <c r="F26" s="248">
        <f t="shared" si="6"/>
        <v>0</v>
      </c>
      <c r="G26" s="253">
        <v>0</v>
      </c>
      <c r="H26" s="253">
        <v>0</v>
      </c>
      <c r="I26" s="253">
        <v>0</v>
      </c>
      <c r="J26" s="253">
        <v>0</v>
      </c>
      <c r="K26" s="253">
        <v>0</v>
      </c>
      <c r="L26" s="253">
        <v>0</v>
      </c>
      <c r="M26" s="253">
        <v>0</v>
      </c>
      <c r="N26" s="253">
        <v>0</v>
      </c>
      <c r="O26" s="253">
        <v>0</v>
      </c>
      <c r="P26" s="253">
        <v>0</v>
      </c>
      <c r="Q26" s="253">
        <v>0</v>
      </c>
      <c r="R26" s="253">
        <v>0</v>
      </c>
      <c r="S26" s="253">
        <v>0</v>
      </c>
      <c r="T26" s="253">
        <v>0</v>
      </c>
      <c r="U26" s="253">
        <v>0</v>
      </c>
      <c r="V26" s="253">
        <v>0</v>
      </c>
      <c r="W26" s="253">
        <v>0</v>
      </c>
      <c r="X26" s="253">
        <v>0</v>
      </c>
      <c r="Y26" s="253">
        <v>0</v>
      </c>
      <c r="Z26" s="253">
        <v>0</v>
      </c>
      <c r="AA26" s="253">
        <v>0</v>
      </c>
      <c r="AB26" s="248">
        <f t="shared" si="3"/>
        <v>0</v>
      </c>
      <c r="AC26" s="249">
        <f t="shared" si="4"/>
        <v>0</v>
      </c>
    </row>
    <row r="27" spans="1:32" ht="31.5" x14ac:dyDescent="0.25">
      <c r="A27" s="250" t="s">
        <v>439</v>
      </c>
      <c r="B27" s="251" t="s">
        <v>440</v>
      </c>
      <c r="C27" s="248">
        <v>16.044621979999999</v>
      </c>
      <c r="D27" s="248">
        <v>0</v>
      </c>
      <c r="E27" s="252">
        <f t="shared" si="5"/>
        <v>16.044621979999999</v>
      </c>
      <c r="F27" s="248">
        <f t="shared" si="6"/>
        <v>16.044621979999999</v>
      </c>
      <c r="G27" s="253">
        <v>0</v>
      </c>
      <c r="H27" s="253">
        <v>0.33260898999999999</v>
      </c>
      <c r="I27" s="253">
        <v>0</v>
      </c>
      <c r="J27" s="253">
        <v>0</v>
      </c>
      <c r="K27" s="253">
        <v>0</v>
      </c>
      <c r="L27" s="253">
        <v>11.104819620000001</v>
      </c>
      <c r="M27" s="253">
        <v>0</v>
      </c>
      <c r="N27" s="253">
        <v>0.34076766999999997</v>
      </c>
      <c r="O27" s="253">
        <v>1.2448760000000003E-2</v>
      </c>
      <c r="P27" s="253">
        <v>4.6071933700000001</v>
      </c>
      <c r="Q27" s="253">
        <v>0</v>
      </c>
      <c r="R27" s="253">
        <v>0</v>
      </c>
      <c r="S27" s="253">
        <v>0</v>
      </c>
      <c r="T27" s="253">
        <v>0</v>
      </c>
      <c r="U27" s="253">
        <v>0</v>
      </c>
      <c r="V27" s="254">
        <v>0</v>
      </c>
      <c r="W27" s="253">
        <v>0</v>
      </c>
      <c r="X27" s="253">
        <v>0</v>
      </c>
      <c r="Y27" s="253">
        <v>0</v>
      </c>
      <c r="Z27" s="253">
        <v>0</v>
      </c>
      <c r="AA27" s="253">
        <v>0</v>
      </c>
      <c r="AB27" s="248">
        <f t="shared" si="3"/>
        <v>16.044621980000002</v>
      </c>
      <c r="AC27" s="249">
        <f t="shared" si="4"/>
        <v>0.34076766999999997</v>
      </c>
    </row>
    <row r="28" spans="1:32" x14ac:dyDescent="0.25">
      <c r="A28" s="250" t="s">
        <v>441</v>
      </c>
      <c r="B28" s="251" t="s">
        <v>442</v>
      </c>
      <c r="C28" s="248">
        <v>0</v>
      </c>
      <c r="D28" s="248">
        <v>0</v>
      </c>
      <c r="E28" s="252">
        <f t="shared" si="5"/>
        <v>0</v>
      </c>
      <c r="F28" s="248">
        <f t="shared" si="6"/>
        <v>0</v>
      </c>
      <c r="G28" s="253">
        <v>0</v>
      </c>
      <c r="H28" s="253">
        <v>0</v>
      </c>
      <c r="I28" s="253">
        <v>0</v>
      </c>
      <c r="J28" s="253">
        <v>0</v>
      </c>
      <c r="K28" s="253">
        <v>0</v>
      </c>
      <c r="L28" s="253">
        <v>0</v>
      </c>
      <c r="M28" s="253">
        <v>0</v>
      </c>
      <c r="N28" s="253">
        <v>0</v>
      </c>
      <c r="O28" s="253">
        <v>0</v>
      </c>
      <c r="P28" s="253">
        <v>0</v>
      </c>
      <c r="Q28" s="253">
        <v>0</v>
      </c>
      <c r="R28" s="253">
        <v>0</v>
      </c>
      <c r="S28" s="253">
        <v>0</v>
      </c>
      <c r="T28" s="253">
        <v>0</v>
      </c>
      <c r="U28" s="253">
        <v>0</v>
      </c>
      <c r="V28" s="253">
        <v>0</v>
      </c>
      <c r="W28" s="253">
        <v>0</v>
      </c>
      <c r="X28" s="253">
        <v>0</v>
      </c>
      <c r="Y28" s="253">
        <v>0</v>
      </c>
      <c r="Z28" s="253">
        <v>0</v>
      </c>
      <c r="AA28" s="253">
        <v>0</v>
      </c>
      <c r="AB28" s="248">
        <f t="shared" si="3"/>
        <v>0</v>
      </c>
      <c r="AC28" s="249">
        <f t="shared" si="4"/>
        <v>0</v>
      </c>
    </row>
    <row r="29" spans="1:32" x14ac:dyDescent="0.25">
      <c r="A29" s="250" t="s">
        <v>443</v>
      </c>
      <c r="B29" s="255" t="s">
        <v>444</v>
      </c>
      <c r="C29" s="248">
        <v>0</v>
      </c>
      <c r="D29" s="248">
        <v>0</v>
      </c>
      <c r="E29" s="252">
        <f t="shared" si="5"/>
        <v>0</v>
      </c>
      <c r="F29" s="248">
        <f t="shared" si="6"/>
        <v>0</v>
      </c>
      <c r="G29" s="253">
        <v>0</v>
      </c>
      <c r="H29" s="253">
        <v>0</v>
      </c>
      <c r="I29" s="253">
        <v>0</v>
      </c>
      <c r="J29" s="253">
        <v>0</v>
      </c>
      <c r="K29" s="253">
        <v>0</v>
      </c>
      <c r="L29" s="253">
        <v>0</v>
      </c>
      <c r="M29" s="253">
        <v>0</v>
      </c>
      <c r="N29" s="253">
        <v>0</v>
      </c>
      <c r="O29" s="253">
        <v>0</v>
      </c>
      <c r="P29" s="253">
        <v>0</v>
      </c>
      <c r="Q29" s="253">
        <v>0</v>
      </c>
      <c r="R29" s="253">
        <v>0</v>
      </c>
      <c r="S29" s="253">
        <v>0</v>
      </c>
      <c r="T29" s="253">
        <v>0</v>
      </c>
      <c r="U29" s="253">
        <v>0</v>
      </c>
      <c r="V29" s="253">
        <v>0</v>
      </c>
      <c r="W29" s="253">
        <v>0</v>
      </c>
      <c r="X29" s="253">
        <v>0</v>
      </c>
      <c r="Y29" s="253">
        <v>0</v>
      </c>
      <c r="Z29" s="253">
        <v>0</v>
      </c>
      <c r="AA29" s="253">
        <v>0</v>
      </c>
      <c r="AB29" s="248">
        <f t="shared" si="3"/>
        <v>0</v>
      </c>
      <c r="AC29" s="249">
        <f t="shared" si="4"/>
        <v>0</v>
      </c>
    </row>
    <row r="30" spans="1:32" ht="47.25" x14ac:dyDescent="0.25">
      <c r="A30" s="246" t="s">
        <v>18</v>
      </c>
      <c r="B30" s="247" t="s">
        <v>445</v>
      </c>
      <c r="C30" s="248">
        <f t="shared" ref="C30:F30" si="7">SUM(C31:C34)</f>
        <v>13.37051832</v>
      </c>
      <c r="D30" s="248">
        <f t="shared" si="7"/>
        <v>0</v>
      </c>
      <c r="E30" s="248">
        <f t="shared" si="7"/>
        <v>13.37051832</v>
      </c>
      <c r="F30" s="248">
        <f t="shared" si="7"/>
        <v>13.37051832</v>
      </c>
      <c r="G30" s="248">
        <f t="shared" ref="G30:AA30" si="8">SUM(G31:G34)</f>
        <v>0</v>
      </c>
      <c r="H30" s="248">
        <f t="shared" si="8"/>
        <v>0.27717416</v>
      </c>
      <c r="I30" s="248">
        <f>SUM(I31:I34)</f>
        <v>0</v>
      </c>
      <c r="J30" s="248">
        <f>SUM(J31:J34)</f>
        <v>0</v>
      </c>
      <c r="K30" s="248">
        <f t="shared" si="8"/>
        <v>0</v>
      </c>
      <c r="L30" s="248">
        <f t="shared" si="8"/>
        <v>13.093344159999999</v>
      </c>
      <c r="M30" s="248">
        <f t="shared" ref="M30" si="9">SUM(M31:M34)</f>
        <v>0</v>
      </c>
      <c r="N30" s="248">
        <f>SUM(N31:N34)</f>
        <v>0.39604785000000003</v>
      </c>
      <c r="O30" s="248">
        <f t="shared" si="8"/>
        <v>0.12244875999999999</v>
      </c>
      <c r="P30" s="248">
        <f t="shared" si="8"/>
        <v>0</v>
      </c>
      <c r="Q30" s="248">
        <f t="shared" si="8"/>
        <v>0</v>
      </c>
      <c r="R30" s="248">
        <f>SUM(R31:R34)</f>
        <v>0</v>
      </c>
      <c r="S30" s="248">
        <f t="shared" si="8"/>
        <v>0</v>
      </c>
      <c r="T30" s="248">
        <f t="shared" si="8"/>
        <v>0</v>
      </c>
      <c r="U30" s="248">
        <f t="shared" si="8"/>
        <v>0</v>
      </c>
      <c r="V30" s="248">
        <f t="shared" si="8"/>
        <v>0</v>
      </c>
      <c r="W30" s="248">
        <f t="shared" si="8"/>
        <v>0</v>
      </c>
      <c r="X30" s="248">
        <f t="shared" si="8"/>
        <v>0</v>
      </c>
      <c r="Y30" s="248">
        <f t="shared" si="8"/>
        <v>0</v>
      </c>
      <c r="Z30" s="248">
        <f t="shared" si="8"/>
        <v>0</v>
      </c>
      <c r="AA30" s="248">
        <f t="shared" si="8"/>
        <v>0</v>
      </c>
      <c r="AB30" s="248">
        <f t="shared" si="3"/>
        <v>13.370518319999999</v>
      </c>
      <c r="AC30" s="249">
        <f t="shared" si="4"/>
        <v>0.39604785000000003</v>
      </c>
    </row>
    <row r="31" spans="1:32" x14ac:dyDescent="0.25">
      <c r="A31" s="246" t="s">
        <v>446</v>
      </c>
      <c r="B31" s="251" t="s">
        <v>447</v>
      </c>
      <c r="C31" s="248">
        <v>0.27717416</v>
      </c>
      <c r="D31" s="248">
        <v>0</v>
      </c>
      <c r="E31" s="252">
        <f t="shared" ref="E31:E64" si="10">C31</f>
        <v>0.27717416</v>
      </c>
      <c r="F31" s="248">
        <f t="shared" si="6"/>
        <v>0.27717416</v>
      </c>
      <c r="G31" s="253">
        <v>0</v>
      </c>
      <c r="H31" s="253">
        <v>0.27717416</v>
      </c>
      <c r="I31" s="253">
        <v>0</v>
      </c>
      <c r="J31" s="253">
        <v>0</v>
      </c>
      <c r="K31" s="253">
        <v>0</v>
      </c>
      <c r="L31" s="253">
        <v>0</v>
      </c>
      <c r="M31" s="253">
        <v>0</v>
      </c>
      <c r="N31" s="253">
        <v>0.27359909000000004</v>
      </c>
      <c r="O31" s="253">
        <v>0</v>
      </c>
      <c r="P31" s="253">
        <v>0</v>
      </c>
      <c r="Q31" s="253">
        <v>0</v>
      </c>
      <c r="R31" s="253">
        <v>0</v>
      </c>
      <c r="S31" s="253">
        <v>0</v>
      </c>
      <c r="T31" s="253">
        <v>0</v>
      </c>
      <c r="U31" s="253">
        <v>0</v>
      </c>
      <c r="V31" s="253">
        <v>0</v>
      </c>
      <c r="W31" s="253">
        <v>0</v>
      </c>
      <c r="X31" s="253">
        <v>0</v>
      </c>
      <c r="Y31" s="253">
        <v>0</v>
      </c>
      <c r="Z31" s="253">
        <v>0</v>
      </c>
      <c r="AA31" s="253">
        <v>0</v>
      </c>
      <c r="AB31" s="248">
        <f t="shared" si="3"/>
        <v>0.27717416</v>
      </c>
      <c r="AC31" s="249">
        <f t="shared" si="4"/>
        <v>0.27359909000000004</v>
      </c>
    </row>
    <row r="32" spans="1:32" ht="31.5" x14ac:dyDescent="0.25">
      <c r="A32" s="246" t="s">
        <v>448</v>
      </c>
      <c r="B32" s="251" t="s">
        <v>449</v>
      </c>
      <c r="C32" s="248">
        <v>4.2245259900000001</v>
      </c>
      <c r="D32" s="248">
        <v>0</v>
      </c>
      <c r="E32" s="252">
        <f t="shared" si="10"/>
        <v>4.2245259900000001</v>
      </c>
      <c r="F32" s="248">
        <f t="shared" si="6"/>
        <v>4.2245259900000001</v>
      </c>
      <c r="G32" s="253">
        <v>0</v>
      </c>
      <c r="H32" s="253">
        <v>0</v>
      </c>
      <c r="I32" s="253">
        <v>0</v>
      </c>
      <c r="J32" s="253">
        <v>0</v>
      </c>
      <c r="K32" s="253">
        <v>0</v>
      </c>
      <c r="L32" s="253">
        <v>4.2245259900000001</v>
      </c>
      <c r="M32" s="253">
        <v>0</v>
      </c>
      <c r="N32" s="253">
        <v>0</v>
      </c>
      <c r="O32" s="253">
        <v>0</v>
      </c>
      <c r="P32" s="253">
        <v>0</v>
      </c>
      <c r="Q32" s="253">
        <v>0</v>
      </c>
      <c r="R32" s="253">
        <v>0</v>
      </c>
      <c r="S32" s="253">
        <v>0</v>
      </c>
      <c r="T32" s="253">
        <v>0</v>
      </c>
      <c r="U32" s="253">
        <v>0</v>
      </c>
      <c r="V32" s="253">
        <v>0</v>
      </c>
      <c r="W32" s="253">
        <v>0</v>
      </c>
      <c r="X32" s="253">
        <v>0</v>
      </c>
      <c r="Y32" s="253">
        <v>0</v>
      </c>
      <c r="Z32" s="253">
        <v>0</v>
      </c>
      <c r="AA32" s="253">
        <v>0</v>
      </c>
      <c r="AB32" s="248">
        <f t="shared" si="3"/>
        <v>4.2245259900000001</v>
      </c>
      <c r="AC32" s="249">
        <f t="shared" si="4"/>
        <v>0</v>
      </c>
    </row>
    <row r="33" spans="1:29" x14ac:dyDescent="0.25">
      <c r="A33" s="246" t="s">
        <v>450</v>
      </c>
      <c r="B33" s="251" t="s">
        <v>451</v>
      </c>
      <c r="C33" s="248">
        <v>7.8755002699999999</v>
      </c>
      <c r="D33" s="248">
        <v>0</v>
      </c>
      <c r="E33" s="252">
        <f t="shared" si="10"/>
        <v>7.8755002699999999</v>
      </c>
      <c r="F33" s="248">
        <f t="shared" si="6"/>
        <v>7.8755002699999999</v>
      </c>
      <c r="G33" s="253">
        <v>0</v>
      </c>
      <c r="H33" s="253">
        <v>0</v>
      </c>
      <c r="I33" s="253">
        <v>0</v>
      </c>
      <c r="J33" s="253">
        <v>0</v>
      </c>
      <c r="K33" s="253">
        <v>0</v>
      </c>
      <c r="L33" s="253">
        <v>7.8755002699999999</v>
      </c>
      <c r="M33" s="253">
        <v>0</v>
      </c>
      <c r="N33" s="253">
        <v>0</v>
      </c>
      <c r="O33" s="253">
        <v>0</v>
      </c>
      <c r="P33" s="253">
        <v>0</v>
      </c>
      <c r="Q33" s="253">
        <v>0</v>
      </c>
      <c r="R33" s="253">
        <v>0</v>
      </c>
      <c r="S33" s="253">
        <v>0</v>
      </c>
      <c r="T33" s="253">
        <v>0</v>
      </c>
      <c r="U33" s="253">
        <v>0</v>
      </c>
      <c r="V33" s="253">
        <v>0</v>
      </c>
      <c r="W33" s="253">
        <v>0</v>
      </c>
      <c r="X33" s="253">
        <v>0</v>
      </c>
      <c r="Y33" s="253">
        <v>0</v>
      </c>
      <c r="Z33" s="253">
        <v>0</v>
      </c>
      <c r="AA33" s="253">
        <v>0</v>
      </c>
      <c r="AB33" s="248">
        <f t="shared" si="3"/>
        <v>7.8755002699999999</v>
      </c>
      <c r="AC33" s="249">
        <f t="shared" si="4"/>
        <v>0</v>
      </c>
    </row>
    <row r="34" spans="1:29" x14ac:dyDescent="0.25">
      <c r="A34" s="246" t="s">
        <v>452</v>
      </c>
      <c r="B34" s="251" t="s">
        <v>453</v>
      </c>
      <c r="C34" s="248">
        <v>0.99331789999999998</v>
      </c>
      <c r="D34" s="248">
        <v>0</v>
      </c>
      <c r="E34" s="252">
        <f t="shared" si="10"/>
        <v>0.99331789999999998</v>
      </c>
      <c r="F34" s="248">
        <f t="shared" si="6"/>
        <v>0.99331789999999998</v>
      </c>
      <c r="G34" s="253">
        <v>0</v>
      </c>
      <c r="H34" s="253">
        <v>0</v>
      </c>
      <c r="I34" s="253">
        <v>0</v>
      </c>
      <c r="J34" s="253">
        <v>0</v>
      </c>
      <c r="K34" s="253">
        <v>0</v>
      </c>
      <c r="L34" s="253">
        <v>0.99331789999999998</v>
      </c>
      <c r="M34" s="253">
        <v>0</v>
      </c>
      <c r="N34" s="253">
        <v>0.12244875999999999</v>
      </c>
      <c r="O34" s="253">
        <v>0.12244875999999999</v>
      </c>
      <c r="P34" s="253">
        <v>0</v>
      </c>
      <c r="Q34" s="253">
        <v>0</v>
      </c>
      <c r="R34" s="253">
        <v>0</v>
      </c>
      <c r="S34" s="253">
        <v>0</v>
      </c>
      <c r="T34" s="253">
        <v>0</v>
      </c>
      <c r="U34" s="253">
        <v>0</v>
      </c>
      <c r="V34" s="253">
        <v>0</v>
      </c>
      <c r="W34" s="253">
        <v>0</v>
      </c>
      <c r="X34" s="253">
        <v>0</v>
      </c>
      <c r="Y34" s="253">
        <v>0</v>
      </c>
      <c r="Z34" s="253">
        <v>0</v>
      </c>
      <c r="AA34" s="253">
        <v>0</v>
      </c>
      <c r="AB34" s="248">
        <f t="shared" si="3"/>
        <v>0.99331789999999998</v>
      </c>
      <c r="AC34" s="249">
        <f t="shared" si="4"/>
        <v>0.12244875999999999</v>
      </c>
    </row>
    <row r="35" spans="1:29" ht="31.5" x14ac:dyDescent="0.25">
      <c r="A35" s="246" t="s">
        <v>21</v>
      </c>
      <c r="B35" s="247" t="s">
        <v>454</v>
      </c>
      <c r="C35" s="248">
        <v>0</v>
      </c>
      <c r="D35" s="248">
        <v>0</v>
      </c>
      <c r="E35" s="252">
        <f t="shared" si="10"/>
        <v>0</v>
      </c>
      <c r="F35" s="248">
        <f t="shared" si="6"/>
        <v>0</v>
      </c>
      <c r="G35" s="248">
        <v>0</v>
      </c>
      <c r="H35" s="248">
        <v>0</v>
      </c>
      <c r="I35" s="248">
        <v>0</v>
      </c>
      <c r="J35" s="248">
        <v>0</v>
      </c>
      <c r="K35" s="248">
        <v>0</v>
      </c>
      <c r="L35" s="248">
        <v>0</v>
      </c>
      <c r="M35" s="248">
        <v>0</v>
      </c>
      <c r="N35" s="248">
        <v>0</v>
      </c>
      <c r="O35" s="248">
        <v>0</v>
      </c>
      <c r="P35" s="248">
        <v>0</v>
      </c>
      <c r="Q35" s="248">
        <v>0</v>
      </c>
      <c r="R35" s="248">
        <v>0</v>
      </c>
      <c r="S35" s="248">
        <v>0</v>
      </c>
      <c r="T35" s="248">
        <v>0</v>
      </c>
      <c r="U35" s="248">
        <v>0</v>
      </c>
      <c r="V35" s="256">
        <v>0</v>
      </c>
      <c r="W35" s="248">
        <v>0</v>
      </c>
      <c r="X35" s="248">
        <f t="shared" ref="X35:X36" si="11">C35</f>
        <v>0</v>
      </c>
      <c r="Y35" s="248">
        <v>0</v>
      </c>
      <c r="Z35" s="248">
        <v>0</v>
      </c>
      <c r="AA35" s="248">
        <v>0</v>
      </c>
      <c r="AB35" s="248">
        <f t="shared" si="3"/>
        <v>0</v>
      </c>
      <c r="AC35" s="249">
        <f t="shared" si="4"/>
        <v>0</v>
      </c>
    </row>
    <row r="36" spans="1:29" ht="31.5" x14ac:dyDescent="0.25">
      <c r="A36" s="250" t="s">
        <v>455</v>
      </c>
      <c r="B36" s="257" t="s">
        <v>456</v>
      </c>
      <c r="C36" s="258">
        <v>0</v>
      </c>
      <c r="D36" s="258">
        <v>0</v>
      </c>
      <c r="E36" s="252">
        <f t="shared" si="10"/>
        <v>0</v>
      </c>
      <c r="F36" s="248">
        <f t="shared" si="6"/>
        <v>0</v>
      </c>
      <c r="G36" s="253">
        <v>0</v>
      </c>
      <c r="H36" s="253">
        <v>0</v>
      </c>
      <c r="I36" s="253">
        <v>0</v>
      </c>
      <c r="J36" s="253">
        <v>0</v>
      </c>
      <c r="K36" s="253">
        <v>0</v>
      </c>
      <c r="L36" s="253">
        <v>0</v>
      </c>
      <c r="M36" s="253">
        <v>0</v>
      </c>
      <c r="N36" s="253">
        <v>0</v>
      </c>
      <c r="O36" s="253">
        <v>0</v>
      </c>
      <c r="P36" s="253">
        <v>0</v>
      </c>
      <c r="Q36" s="253">
        <v>0</v>
      </c>
      <c r="R36" s="253">
        <v>0</v>
      </c>
      <c r="S36" s="253">
        <v>0</v>
      </c>
      <c r="T36" s="253">
        <v>0</v>
      </c>
      <c r="U36" s="253">
        <v>0</v>
      </c>
      <c r="V36" s="253">
        <v>0</v>
      </c>
      <c r="W36" s="253">
        <v>0</v>
      </c>
      <c r="X36" s="253">
        <f t="shared" si="11"/>
        <v>0</v>
      </c>
      <c r="Y36" s="253">
        <v>0</v>
      </c>
      <c r="Z36" s="253">
        <v>0</v>
      </c>
      <c r="AA36" s="253">
        <v>0</v>
      </c>
      <c r="AB36" s="248">
        <f t="shared" si="3"/>
        <v>0</v>
      </c>
      <c r="AC36" s="249">
        <f t="shared" si="4"/>
        <v>0</v>
      </c>
    </row>
    <row r="37" spans="1:29" x14ac:dyDescent="0.25">
      <c r="A37" s="250" t="s">
        <v>457</v>
      </c>
      <c r="B37" s="257" t="s">
        <v>458</v>
      </c>
      <c r="C37" s="258">
        <v>0.65</v>
      </c>
      <c r="D37" s="258">
        <v>0</v>
      </c>
      <c r="E37" s="252">
        <f t="shared" si="10"/>
        <v>0.65</v>
      </c>
      <c r="F37" s="248">
        <f t="shared" si="6"/>
        <v>0.65</v>
      </c>
      <c r="G37" s="253">
        <v>0</v>
      </c>
      <c r="H37" s="253">
        <v>0</v>
      </c>
      <c r="I37" s="253">
        <v>0</v>
      </c>
      <c r="J37" s="253">
        <v>0</v>
      </c>
      <c r="K37" s="253">
        <v>0</v>
      </c>
      <c r="L37" s="253">
        <v>0.65</v>
      </c>
      <c r="M37" s="253">
        <v>0.65</v>
      </c>
      <c r="N37" s="253">
        <v>0</v>
      </c>
      <c r="O37" s="253">
        <v>0</v>
      </c>
      <c r="P37" s="253">
        <v>0</v>
      </c>
      <c r="Q37" s="253">
        <v>0</v>
      </c>
      <c r="R37" s="253">
        <v>0</v>
      </c>
      <c r="S37" s="253">
        <v>0</v>
      </c>
      <c r="T37" s="253">
        <v>0</v>
      </c>
      <c r="U37" s="253">
        <v>0</v>
      </c>
      <c r="V37" s="254">
        <v>0</v>
      </c>
      <c r="W37" s="253">
        <v>0</v>
      </c>
      <c r="X37" s="253">
        <v>0</v>
      </c>
      <c r="Y37" s="253">
        <v>0</v>
      </c>
      <c r="Z37" s="253">
        <v>0</v>
      </c>
      <c r="AA37" s="253">
        <v>0</v>
      </c>
      <c r="AB37" s="248">
        <f t="shared" si="3"/>
        <v>0.65</v>
      </c>
      <c r="AC37" s="249">
        <f t="shared" si="4"/>
        <v>0</v>
      </c>
    </row>
    <row r="38" spans="1:29" x14ac:dyDescent="0.25">
      <c r="A38" s="250" t="s">
        <v>459</v>
      </c>
      <c r="B38" s="257" t="s">
        <v>460</v>
      </c>
      <c r="C38" s="258">
        <v>0</v>
      </c>
      <c r="D38" s="258">
        <v>0</v>
      </c>
      <c r="E38" s="252">
        <f t="shared" si="10"/>
        <v>0</v>
      </c>
      <c r="F38" s="248">
        <f t="shared" si="6"/>
        <v>0</v>
      </c>
      <c r="G38" s="253">
        <v>0</v>
      </c>
      <c r="H38" s="253">
        <v>0</v>
      </c>
      <c r="I38" s="253">
        <v>0</v>
      </c>
      <c r="J38" s="253">
        <v>0</v>
      </c>
      <c r="K38" s="253">
        <v>0</v>
      </c>
      <c r="L38" s="253">
        <v>0</v>
      </c>
      <c r="M38" s="253">
        <v>0</v>
      </c>
      <c r="N38" s="253">
        <v>0</v>
      </c>
      <c r="O38" s="253">
        <v>0</v>
      </c>
      <c r="P38" s="253">
        <v>0</v>
      </c>
      <c r="Q38" s="253">
        <v>0</v>
      </c>
      <c r="R38" s="253">
        <v>0</v>
      </c>
      <c r="S38" s="253">
        <v>0</v>
      </c>
      <c r="T38" s="253">
        <v>0</v>
      </c>
      <c r="U38" s="253">
        <v>0</v>
      </c>
      <c r="V38" s="253">
        <v>0</v>
      </c>
      <c r="W38" s="253">
        <v>0</v>
      </c>
      <c r="X38" s="253">
        <v>0</v>
      </c>
      <c r="Y38" s="253">
        <v>0</v>
      </c>
      <c r="Z38" s="253">
        <v>0</v>
      </c>
      <c r="AA38" s="253">
        <v>0</v>
      </c>
      <c r="AB38" s="248">
        <f t="shared" si="3"/>
        <v>0</v>
      </c>
      <c r="AC38" s="249">
        <f t="shared" si="4"/>
        <v>0</v>
      </c>
    </row>
    <row r="39" spans="1:29" ht="31.5" x14ac:dyDescent="0.25">
      <c r="A39" s="250" t="s">
        <v>461</v>
      </c>
      <c r="B39" s="251" t="s">
        <v>462</v>
      </c>
      <c r="C39" s="248">
        <v>0.97199999999999998</v>
      </c>
      <c r="D39" s="248">
        <v>0</v>
      </c>
      <c r="E39" s="252">
        <f t="shared" si="10"/>
        <v>0.97199999999999998</v>
      </c>
      <c r="F39" s="248">
        <f t="shared" si="6"/>
        <v>0.97199999999999998</v>
      </c>
      <c r="G39" s="253">
        <v>0</v>
      </c>
      <c r="H39" s="253">
        <v>0</v>
      </c>
      <c r="I39" s="253">
        <v>0</v>
      </c>
      <c r="J39" s="253">
        <v>0</v>
      </c>
      <c r="K39" s="253">
        <v>0</v>
      </c>
      <c r="L39" s="253">
        <v>0.97199999999999998</v>
      </c>
      <c r="M39" s="253">
        <v>0.97199999999999998</v>
      </c>
      <c r="N39" s="253">
        <v>0</v>
      </c>
      <c r="O39" s="253">
        <v>0</v>
      </c>
      <c r="P39" s="253">
        <v>0</v>
      </c>
      <c r="Q39" s="253">
        <v>0</v>
      </c>
      <c r="R39" s="253">
        <v>0</v>
      </c>
      <c r="S39" s="253">
        <v>0</v>
      </c>
      <c r="T39" s="253">
        <v>0</v>
      </c>
      <c r="U39" s="253">
        <v>0</v>
      </c>
      <c r="V39" s="253">
        <v>0</v>
      </c>
      <c r="W39" s="253">
        <v>0</v>
      </c>
      <c r="X39" s="253">
        <v>0</v>
      </c>
      <c r="Y39" s="253">
        <v>0</v>
      </c>
      <c r="Z39" s="253">
        <v>0</v>
      </c>
      <c r="AA39" s="253">
        <v>0</v>
      </c>
      <c r="AB39" s="248">
        <f t="shared" si="3"/>
        <v>0.97199999999999998</v>
      </c>
      <c r="AC39" s="249">
        <f t="shared" si="4"/>
        <v>0</v>
      </c>
    </row>
    <row r="40" spans="1:29" ht="31.5" x14ac:dyDescent="0.25">
      <c r="A40" s="250" t="s">
        <v>463</v>
      </c>
      <c r="B40" s="251" t="s">
        <v>464</v>
      </c>
      <c r="C40" s="248">
        <v>0</v>
      </c>
      <c r="D40" s="248">
        <v>0</v>
      </c>
      <c r="E40" s="252">
        <f t="shared" si="10"/>
        <v>0</v>
      </c>
      <c r="F40" s="248">
        <f t="shared" si="6"/>
        <v>0</v>
      </c>
      <c r="G40" s="253">
        <v>0</v>
      </c>
      <c r="H40" s="253">
        <v>0</v>
      </c>
      <c r="I40" s="253">
        <v>0</v>
      </c>
      <c r="J40" s="253">
        <v>0</v>
      </c>
      <c r="K40" s="253">
        <v>0</v>
      </c>
      <c r="L40" s="253">
        <v>0</v>
      </c>
      <c r="M40" s="253">
        <v>0</v>
      </c>
      <c r="N40" s="253">
        <v>0</v>
      </c>
      <c r="O40" s="253">
        <v>0</v>
      </c>
      <c r="P40" s="253">
        <v>0</v>
      </c>
      <c r="Q40" s="253">
        <v>0</v>
      </c>
      <c r="R40" s="253">
        <v>0</v>
      </c>
      <c r="S40" s="253">
        <v>0</v>
      </c>
      <c r="T40" s="253">
        <v>0</v>
      </c>
      <c r="U40" s="253">
        <v>0</v>
      </c>
      <c r="V40" s="253">
        <v>0</v>
      </c>
      <c r="W40" s="253">
        <v>0</v>
      </c>
      <c r="X40" s="253">
        <v>0</v>
      </c>
      <c r="Y40" s="253">
        <v>0</v>
      </c>
      <c r="Z40" s="253">
        <v>0</v>
      </c>
      <c r="AA40" s="253">
        <v>0</v>
      </c>
      <c r="AB40" s="248">
        <f t="shared" si="3"/>
        <v>0</v>
      </c>
      <c r="AC40" s="249">
        <f t="shared" si="4"/>
        <v>0</v>
      </c>
    </row>
    <row r="41" spans="1:29" x14ac:dyDescent="0.25">
      <c r="A41" s="250" t="s">
        <v>465</v>
      </c>
      <c r="B41" s="251" t="s">
        <v>466</v>
      </c>
      <c r="C41" s="248">
        <v>0</v>
      </c>
      <c r="D41" s="248">
        <v>0</v>
      </c>
      <c r="E41" s="252">
        <f t="shared" si="10"/>
        <v>0</v>
      </c>
      <c r="F41" s="248">
        <f t="shared" si="6"/>
        <v>0</v>
      </c>
      <c r="G41" s="253">
        <v>0</v>
      </c>
      <c r="H41" s="253">
        <v>0</v>
      </c>
      <c r="I41" s="253">
        <v>0</v>
      </c>
      <c r="J41" s="253">
        <v>0</v>
      </c>
      <c r="K41" s="253">
        <v>0</v>
      </c>
      <c r="L41" s="253">
        <v>0</v>
      </c>
      <c r="M41" s="253">
        <v>0</v>
      </c>
      <c r="N41" s="253">
        <v>0</v>
      </c>
      <c r="O41" s="253">
        <v>0</v>
      </c>
      <c r="P41" s="253">
        <v>0</v>
      </c>
      <c r="Q41" s="253">
        <v>0</v>
      </c>
      <c r="R41" s="253">
        <v>0</v>
      </c>
      <c r="S41" s="253">
        <v>0</v>
      </c>
      <c r="T41" s="253">
        <v>0</v>
      </c>
      <c r="U41" s="253">
        <v>0</v>
      </c>
      <c r="V41" s="253">
        <v>0</v>
      </c>
      <c r="W41" s="253">
        <v>0</v>
      </c>
      <c r="X41" s="253">
        <v>0</v>
      </c>
      <c r="Y41" s="253">
        <v>0</v>
      </c>
      <c r="Z41" s="253">
        <v>0</v>
      </c>
      <c r="AA41" s="253">
        <v>0</v>
      </c>
      <c r="AB41" s="248">
        <f t="shared" si="3"/>
        <v>0</v>
      </c>
      <c r="AC41" s="249">
        <f t="shared" si="4"/>
        <v>0</v>
      </c>
    </row>
    <row r="42" spans="1:29" ht="18.75" x14ac:dyDescent="0.25">
      <c r="A42" s="250" t="s">
        <v>467</v>
      </c>
      <c r="B42" s="257" t="s">
        <v>468</v>
      </c>
      <c r="C42" s="258">
        <v>0</v>
      </c>
      <c r="D42" s="258">
        <v>0</v>
      </c>
      <c r="E42" s="252">
        <f t="shared" si="10"/>
        <v>0</v>
      </c>
      <c r="F42" s="248">
        <f t="shared" si="6"/>
        <v>0</v>
      </c>
      <c r="G42" s="253">
        <v>0</v>
      </c>
      <c r="H42" s="253">
        <v>0</v>
      </c>
      <c r="I42" s="253">
        <v>0</v>
      </c>
      <c r="J42" s="253">
        <v>0</v>
      </c>
      <c r="K42" s="253">
        <v>0</v>
      </c>
      <c r="L42" s="253">
        <v>0</v>
      </c>
      <c r="M42" s="253">
        <v>0</v>
      </c>
      <c r="N42" s="253">
        <v>0</v>
      </c>
      <c r="O42" s="253">
        <v>0</v>
      </c>
      <c r="P42" s="253">
        <v>0</v>
      </c>
      <c r="Q42" s="253">
        <v>0</v>
      </c>
      <c r="R42" s="253">
        <v>0</v>
      </c>
      <c r="S42" s="253">
        <v>0</v>
      </c>
      <c r="T42" s="253">
        <v>0</v>
      </c>
      <c r="U42" s="253">
        <v>0</v>
      </c>
      <c r="V42" s="253">
        <v>0</v>
      </c>
      <c r="W42" s="253">
        <v>0</v>
      </c>
      <c r="X42" s="253">
        <v>0</v>
      </c>
      <c r="Y42" s="253">
        <v>0</v>
      </c>
      <c r="Z42" s="253">
        <v>0</v>
      </c>
      <c r="AA42" s="253">
        <v>0</v>
      </c>
      <c r="AB42" s="248">
        <f t="shared" si="3"/>
        <v>0</v>
      </c>
      <c r="AC42" s="249">
        <f t="shared" si="4"/>
        <v>0</v>
      </c>
    </row>
    <row r="43" spans="1:29" x14ac:dyDescent="0.25">
      <c r="A43" s="246" t="s">
        <v>24</v>
      </c>
      <c r="B43" s="247" t="s">
        <v>469</v>
      </c>
      <c r="C43" s="248">
        <v>0</v>
      </c>
      <c r="D43" s="248">
        <v>0</v>
      </c>
      <c r="E43" s="252">
        <f t="shared" si="10"/>
        <v>0</v>
      </c>
      <c r="F43" s="248">
        <f t="shared" si="6"/>
        <v>0</v>
      </c>
      <c r="G43" s="248">
        <v>0</v>
      </c>
      <c r="H43" s="248">
        <v>0</v>
      </c>
      <c r="I43" s="248">
        <v>0</v>
      </c>
      <c r="J43" s="248">
        <v>0</v>
      </c>
      <c r="K43" s="248">
        <v>0</v>
      </c>
      <c r="L43" s="248">
        <v>0</v>
      </c>
      <c r="M43" s="248">
        <v>0</v>
      </c>
      <c r="N43" s="248">
        <v>0</v>
      </c>
      <c r="O43" s="248">
        <v>0</v>
      </c>
      <c r="P43" s="248">
        <v>0</v>
      </c>
      <c r="Q43" s="248">
        <v>0</v>
      </c>
      <c r="R43" s="248">
        <v>0</v>
      </c>
      <c r="S43" s="248">
        <v>0</v>
      </c>
      <c r="T43" s="248">
        <v>0</v>
      </c>
      <c r="U43" s="248">
        <v>0</v>
      </c>
      <c r="V43" s="256">
        <v>0</v>
      </c>
      <c r="W43" s="248">
        <v>0</v>
      </c>
      <c r="X43" s="248">
        <v>0</v>
      </c>
      <c r="Y43" s="248">
        <v>0</v>
      </c>
      <c r="Z43" s="248">
        <v>0</v>
      </c>
      <c r="AA43" s="248">
        <v>0</v>
      </c>
      <c r="AB43" s="248">
        <f t="shared" si="3"/>
        <v>0</v>
      </c>
      <c r="AC43" s="249">
        <f t="shared" si="4"/>
        <v>0</v>
      </c>
    </row>
    <row r="44" spans="1:29" x14ac:dyDescent="0.25">
      <c r="A44" s="250" t="s">
        <v>470</v>
      </c>
      <c r="B44" s="251" t="s">
        <v>471</v>
      </c>
      <c r="C44" s="248">
        <f t="shared" ref="C44:C50" si="12">C36</f>
        <v>0</v>
      </c>
      <c r="D44" s="248">
        <v>0</v>
      </c>
      <c r="E44" s="252">
        <f t="shared" si="10"/>
        <v>0</v>
      </c>
      <c r="F44" s="248">
        <f t="shared" si="6"/>
        <v>0</v>
      </c>
      <c r="G44" s="253">
        <v>0</v>
      </c>
      <c r="H44" s="253">
        <v>0</v>
      </c>
      <c r="I44" s="253">
        <v>0</v>
      </c>
      <c r="J44" s="253">
        <v>0</v>
      </c>
      <c r="K44" s="253">
        <v>0</v>
      </c>
      <c r="L44" s="253">
        <v>0</v>
      </c>
      <c r="M44" s="253">
        <v>0</v>
      </c>
      <c r="N44" s="253">
        <v>0</v>
      </c>
      <c r="O44" s="253">
        <v>0</v>
      </c>
      <c r="P44" s="253">
        <v>0</v>
      </c>
      <c r="Q44" s="253">
        <v>0</v>
      </c>
      <c r="R44" s="253">
        <v>0</v>
      </c>
      <c r="S44" s="253">
        <v>0</v>
      </c>
      <c r="T44" s="253">
        <v>0</v>
      </c>
      <c r="U44" s="253">
        <v>0</v>
      </c>
      <c r="V44" s="253">
        <v>0</v>
      </c>
      <c r="W44" s="253">
        <v>0</v>
      </c>
      <c r="X44" s="253">
        <v>0</v>
      </c>
      <c r="Y44" s="253">
        <v>0</v>
      </c>
      <c r="Z44" s="253">
        <v>0</v>
      </c>
      <c r="AA44" s="253">
        <v>0</v>
      </c>
      <c r="AB44" s="248">
        <f t="shared" si="3"/>
        <v>0</v>
      </c>
      <c r="AC44" s="249">
        <f t="shared" si="4"/>
        <v>0</v>
      </c>
    </row>
    <row r="45" spans="1:29" x14ac:dyDescent="0.25">
      <c r="A45" s="250" t="s">
        <v>472</v>
      </c>
      <c r="B45" s="251" t="s">
        <v>458</v>
      </c>
      <c r="C45" s="248">
        <f t="shared" si="12"/>
        <v>0.65</v>
      </c>
      <c r="D45" s="248">
        <v>0</v>
      </c>
      <c r="E45" s="252">
        <f t="shared" si="10"/>
        <v>0.65</v>
      </c>
      <c r="F45" s="248">
        <f t="shared" si="6"/>
        <v>0.65</v>
      </c>
      <c r="G45" s="253">
        <v>0</v>
      </c>
      <c r="H45" s="253">
        <v>0</v>
      </c>
      <c r="I45" s="253">
        <v>0</v>
      </c>
      <c r="J45" s="253">
        <v>0</v>
      </c>
      <c r="K45" s="253">
        <v>0</v>
      </c>
      <c r="L45" s="253">
        <v>0.65</v>
      </c>
      <c r="M45" s="253">
        <v>0.65</v>
      </c>
      <c r="N45" s="253">
        <v>0</v>
      </c>
      <c r="O45" s="253">
        <v>0</v>
      </c>
      <c r="P45" s="253">
        <v>0</v>
      </c>
      <c r="Q45" s="253">
        <v>0</v>
      </c>
      <c r="R45" s="253">
        <v>0</v>
      </c>
      <c r="S45" s="253">
        <v>0</v>
      </c>
      <c r="T45" s="253">
        <v>0</v>
      </c>
      <c r="U45" s="253">
        <v>0</v>
      </c>
      <c r="V45" s="254">
        <v>0</v>
      </c>
      <c r="W45" s="253">
        <v>0</v>
      </c>
      <c r="X45" s="253">
        <v>0</v>
      </c>
      <c r="Y45" s="253">
        <v>0</v>
      </c>
      <c r="Z45" s="253">
        <v>0</v>
      </c>
      <c r="AA45" s="253">
        <v>0</v>
      </c>
      <c r="AB45" s="248">
        <f t="shared" si="3"/>
        <v>0.65</v>
      </c>
      <c r="AC45" s="249">
        <f t="shared" si="4"/>
        <v>0</v>
      </c>
    </row>
    <row r="46" spans="1:29" x14ac:dyDescent="0.25">
      <c r="A46" s="250" t="s">
        <v>473</v>
      </c>
      <c r="B46" s="251" t="s">
        <v>460</v>
      </c>
      <c r="C46" s="248">
        <f t="shared" si="12"/>
        <v>0</v>
      </c>
      <c r="D46" s="248">
        <v>0</v>
      </c>
      <c r="E46" s="252">
        <f t="shared" si="10"/>
        <v>0</v>
      </c>
      <c r="F46" s="248">
        <f t="shared" si="6"/>
        <v>0</v>
      </c>
      <c r="G46" s="253">
        <v>0</v>
      </c>
      <c r="H46" s="253">
        <v>0</v>
      </c>
      <c r="I46" s="253">
        <v>0</v>
      </c>
      <c r="J46" s="253">
        <v>0</v>
      </c>
      <c r="K46" s="253">
        <v>0</v>
      </c>
      <c r="L46" s="253">
        <v>0</v>
      </c>
      <c r="M46" s="253">
        <v>0</v>
      </c>
      <c r="N46" s="253">
        <v>0</v>
      </c>
      <c r="O46" s="253">
        <v>0</v>
      </c>
      <c r="P46" s="253">
        <v>0</v>
      </c>
      <c r="Q46" s="253">
        <v>0</v>
      </c>
      <c r="R46" s="253">
        <v>0</v>
      </c>
      <c r="S46" s="253">
        <v>0</v>
      </c>
      <c r="T46" s="253">
        <v>0</v>
      </c>
      <c r="U46" s="253">
        <v>0</v>
      </c>
      <c r="V46" s="253">
        <v>0</v>
      </c>
      <c r="W46" s="253">
        <v>0</v>
      </c>
      <c r="X46" s="253">
        <v>0</v>
      </c>
      <c r="Y46" s="253">
        <v>0</v>
      </c>
      <c r="Z46" s="253">
        <v>0</v>
      </c>
      <c r="AA46" s="253">
        <v>0</v>
      </c>
      <c r="AB46" s="248">
        <f t="shared" si="3"/>
        <v>0</v>
      </c>
      <c r="AC46" s="249">
        <f t="shared" si="4"/>
        <v>0</v>
      </c>
    </row>
    <row r="47" spans="1:29" ht="31.5" x14ac:dyDescent="0.25">
      <c r="A47" s="250" t="s">
        <v>474</v>
      </c>
      <c r="B47" s="251" t="s">
        <v>462</v>
      </c>
      <c r="C47" s="248">
        <f t="shared" si="12"/>
        <v>0.97199999999999998</v>
      </c>
      <c r="D47" s="248">
        <v>0</v>
      </c>
      <c r="E47" s="252">
        <f t="shared" si="10"/>
        <v>0.97199999999999998</v>
      </c>
      <c r="F47" s="248">
        <f t="shared" si="6"/>
        <v>0.97199999999999998</v>
      </c>
      <c r="G47" s="253">
        <v>0</v>
      </c>
      <c r="H47" s="253">
        <v>0</v>
      </c>
      <c r="I47" s="253">
        <v>0</v>
      </c>
      <c r="J47" s="253">
        <v>0</v>
      </c>
      <c r="K47" s="253">
        <v>0</v>
      </c>
      <c r="L47" s="253">
        <v>0.97199999999999998</v>
      </c>
      <c r="M47" s="253">
        <v>0.97199999999999998</v>
      </c>
      <c r="N47" s="253">
        <v>0</v>
      </c>
      <c r="O47" s="253">
        <v>0</v>
      </c>
      <c r="P47" s="253">
        <v>0</v>
      </c>
      <c r="Q47" s="253">
        <v>0</v>
      </c>
      <c r="R47" s="253">
        <v>0</v>
      </c>
      <c r="S47" s="253">
        <v>0</v>
      </c>
      <c r="T47" s="253">
        <v>0</v>
      </c>
      <c r="U47" s="253">
        <v>0</v>
      </c>
      <c r="V47" s="253">
        <v>0</v>
      </c>
      <c r="W47" s="253">
        <v>0</v>
      </c>
      <c r="X47" s="253">
        <v>0</v>
      </c>
      <c r="Y47" s="253">
        <v>0</v>
      </c>
      <c r="Z47" s="253">
        <v>0</v>
      </c>
      <c r="AA47" s="253">
        <v>0</v>
      </c>
      <c r="AB47" s="248">
        <f t="shared" si="3"/>
        <v>0.97199999999999998</v>
      </c>
      <c r="AC47" s="249">
        <f t="shared" si="4"/>
        <v>0</v>
      </c>
    </row>
    <row r="48" spans="1:29" ht="31.5" x14ac:dyDescent="0.25">
      <c r="A48" s="250" t="s">
        <v>475</v>
      </c>
      <c r="B48" s="251" t="s">
        <v>464</v>
      </c>
      <c r="C48" s="248">
        <f t="shared" si="12"/>
        <v>0</v>
      </c>
      <c r="D48" s="248">
        <v>0</v>
      </c>
      <c r="E48" s="252">
        <f t="shared" si="10"/>
        <v>0</v>
      </c>
      <c r="F48" s="248">
        <f t="shared" si="6"/>
        <v>0</v>
      </c>
      <c r="G48" s="253">
        <v>0</v>
      </c>
      <c r="H48" s="253">
        <v>0</v>
      </c>
      <c r="I48" s="253">
        <v>0</v>
      </c>
      <c r="J48" s="253">
        <v>0</v>
      </c>
      <c r="K48" s="253">
        <v>0</v>
      </c>
      <c r="L48" s="253">
        <v>0</v>
      </c>
      <c r="M48" s="253">
        <v>0</v>
      </c>
      <c r="N48" s="253">
        <v>0</v>
      </c>
      <c r="O48" s="253">
        <v>0</v>
      </c>
      <c r="P48" s="253">
        <v>0</v>
      </c>
      <c r="Q48" s="253">
        <v>0</v>
      </c>
      <c r="R48" s="253">
        <v>0</v>
      </c>
      <c r="S48" s="253">
        <v>0</v>
      </c>
      <c r="T48" s="253">
        <v>0</v>
      </c>
      <c r="U48" s="253">
        <v>0</v>
      </c>
      <c r="V48" s="253">
        <v>0</v>
      </c>
      <c r="W48" s="253">
        <v>0</v>
      </c>
      <c r="X48" s="253">
        <v>0</v>
      </c>
      <c r="Y48" s="253">
        <v>0</v>
      </c>
      <c r="Z48" s="253">
        <v>0</v>
      </c>
      <c r="AA48" s="253">
        <v>0</v>
      </c>
      <c r="AB48" s="248">
        <f t="shared" si="3"/>
        <v>0</v>
      </c>
      <c r="AC48" s="249">
        <f t="shared" si="4"/>
        <v>0</v>
      </c>
    </row>
    <row r="49" spans="1:29" x14ac:dyDescent="0.25">
      <c r="A49" s="250" t="s">
        <v>476</v>
      </c>
      <c r="B49" s="251" t="s">
        <v>466</v>
      </c>
      <c r="C49" s="248">
        <f t="shared" si="12"/>
        <v>0</v>
      </c>
      <c r="D49" s="248">
        <v>0</v>
      </c>
      <c r="E49" s="252">
        <f t="shared" si="10"/>
        <v>0</v>
      </c>
      <c r="F49" s="248">
        <f t="shared" si="6"/>
        <v>0</v>
      </c>
      <c r="G49" s="253">
        <v>0</v>
      </c>
      <c r="H49" s="253">
        <v>0</v>
      </c>
      <c r="I49" s="253">
        <v>0</v>
      </c>
      <c r="J49" s="253">
        <v>0</v>
      </c>
      <c r="K49" s="253">
        <v>0</v>
      </c>
      <c r="L49" s="253">
        <v>0</v>
      </c>
      <c r="M49" s="253">
        <v>0</v>
      </c>
      <c r="N49" s="253">
        <v>0</v>
      </c>
      <c r="O49" s="253">
        <v>0</v>
      </c>
      <c r="P49" s="253">
        <v>0</v>
      </c>
      <c r="Q49" s="253">
        <v>0</v>
      </c>
      <c r="R49" s="253">
        <v>0</v>
      </c>
      <c r="S49" s="253">
        <v>0</v>
      </c>
      <c r="T49" s="253">
        <v>0</v>
      </c>
      <c r="U49" s="253">
        <v>0</v>
      </c>
      <c r="V49" s="253">
        <v>0</v>
      </c>
      <c r="W49" s="253">
        <v>0</v>
      </c>
      <c r="X49" s="253">
        <v>0</v>
      </c>
      <c r="Y49" s="253">
        <v>0</v>
      </c>
      <c r="Z49" s="253">
        <v>0</v>
      </c>
      <c r="AA49" s="253">
        <v>0</v>
      </c>
      <c r="AB49" s="248">
        <f t="shared" si="3"/>
        <v>0</v>
      </c>
      <c r="AC49" s="249">
        <f t="shared" si="4"/>
        <v>0</v>
      </c>
    </row>
    <row r="50" spans="1:29" ht="18.75" x14ac:dyDescent="0.25">
      <c r="A50" s="250" t="s">
        <v>477</v>
      </c>
      <c r="B50" s="257" t="s">
        <v>468</v>
      </c>
      <c r="C50" s="248">
        <f t="shared" si="12"/>
        <v>0</v>
      </c>
      <c r="D50" s="248">
        <v>0</v>
      </c>
      <c r="E50" s="252">
        <f t="shared" si="10"/>
        <v>0</v>
      </c>
      <c r="F50" s="248">
        <f t="shared" si="6"/>
        <v>0</v>
      </c>
      <c r="G50" s="253">
        <v>0</v>
      </c>
      <c r="H50" s="253">
        <v>0</v>
      </c>
      <c r="I50" s="253">
        <v>0</v>
      </c>
      <c r="J50" s="253">
        <v>0</v>
      </c>
      <c r="K50" s="253">
        <v>0</v>
      </c>
      <c r="L50" s="253">
        <v>0</v>
      </c>
      <c r="M50" s="253">
        <v>0</v>
      </c>
      <c r="N50" s="253">
        <v>0</v>
      </c>
      <c r="O50" s="253">
        <v>0</v>
      </c>
      <c r="P50" s="253">
        <v>0</v>
      </c>
      <c r="Q50" s="253">
        <v>0</v>
      </c>
      <c r="R50" s="253">
        <v>0</v>
      </c>
      <c r="S50" s="253">
        <v>0</v>
      </c>
      <c r="T50" s="253">
        <v>0</v>
      </c>
      <c r="U50" s="253">
        <v>0</v>
      </c>
      <c r="V50" s="253">
        <v>0</v>
      </c>
      <c r="W50" s="253">
        <v>0</v>
      </c>
      <c r="X50" s="253">
        <v>0</v>
      </c>
      <c r="Y50" s="253">
        <v>0</v>
      </c>
      <c r="Z50" s="253">
        <v>0</v>
      </c>
      <c r="AA50" s="253">
        <v>0</v>
      </c>
      <c r="AB50" s="248">
        <f t="shared" si="3"/>
        <v>0</v>
      </c>
      <c r="AC50" s="249">
        <f t="shared" si="4"/>
        <v>0</v>
      </c>
    </row>
    <row r="51" spans="1:29" ht="35.25" customHeight="1" x14ac:dyDescent="0.25">
      <c r="A51" s="246" t="s">
        <v>27</v>
      </c>
      <c r="B51" s="247" t="s">
        <v>478</v>
      </c>
      <c r="C51" s="248">
        <v>0</v>
      </c>
      <c r="D51" s="248">
        <v>0</v>
      </c>
      <c r="E51" s="252">
        <f t="shared" si="10"/>
        <v>0</v>
      </c>
      <c r="F51" s="248">
        <f t="shared" si="6"/>
        <v>0</v>
      </c>
      <c r="G51" s="248">
        <v>0</v>
      </c>
      <c r="H51" s="248">
        <v>0</v>
      </c>
      <c r="I51" s="248">
        <v>0</v>
      </c>
      <c r="J51" s="248">
        <v>0</v>
      </c>
      <c r="K51" s="248">
        <v>0</v>
      </c>
      <c r="L51" s="248">
        <v>0</v>
      </c>
      <c r="M51" s="248">
        <v>0</v>
      </c>
      <c r="N51" s="248">
        <v>0</v>
      </c>
      <c r="O51" s="248">
        <v>0</v>
      </c>
      <c r="P51" s="248">
        <v>0</v>
      </c>
      <c r="Q51" s="248">
        <v>0</v>
      </c>
      <c r="R51" s="248">
        <v>0</v>
      </c>
      <c r="S51" s="248">
        <v>0</v>
      </c>
      <c r="T51" s="248">
        <v>0</v>
      </c>
      <c r="U51" s="248">
        <v>0</v>
      </c>
      <c r="V51" s="256">
        <v>0</v>
      </c>
      <c r="W51" s="248">
        <v>0</v>
      </c>
      <c r="X51" s="248">
        <v>0</v>
      </c>
      <c r="Y51" s="248">
        <v>0</v>
      </c>
      <c r="Z51" s="248">
        <v>0</v>
      </c>
      <c r="AA51" s="248">
        <v>0</v>
      </c>
      <c r="AB51" s="248">
        <f t="shared" si="3"/>
        <v>0</v>
      </c>
      <c r="AC51" s="249">
        <f t="shared" si="4"/>
        <v>0</v>
      </c>
    </row>
    <row r="52" spans="1:29" x14ac:dyDescent="0.25">
      <c r="A52" s="250" t="s">
        <v>479</v>
      </c>
      <c r="B52" s="251" t="s">
        <v>480</v>
      </c>
      <c r="C52" s="248">
        <f>C30</f>
        <v>13.37051832</v>
      </c>
      <c r="D52" s="248">
        <v>0</v>
      </c>
      <c r="E52" s="252">
        <f t="shared" si="10"/>
        <v>13.37051832</v>
      </c>
      <c r="F52" s="248">
        <f t="shared" si="6"/>
        <v>13.37051832</v>
      </c>
      <c r="G52" s="253">
        <v>0</v>
      </c>
      <c r="H52" s="253">
        <v>0</v>
      </c>
      <c r="I52" s="253">
        <v>0</v>
      </c>
      <c r="J52" s="253">
        <v>0</v>
      </c>
      <c r="K52" s="253">
        <v>0</v>
      </c>
      <c r="L52" s="253">
        <v>13.37051832</v>
      </c>
      <c r="M52" s="253">
        <v>13.37051832</v>
      </c>
      <c r="N52" s="253">
        <v>0</v>
      </c>
      <c r="O52" s="253">
        <v>0</v>
      </c>
      <c r="P52" s="253">
        <v>0</v>
      </c>
      <c r="Q52" s="253">
        <v>0</v>
      </c>
      <c r="R52" s="253">
        <v>0</v>
      </c>
      <c r="S52" s="253">
        <v>0</v>
      </c>
      <c r="T52" s="253">
        <v>0</v>
      </c>
      <c r="U52" s="253">
        <v>0</v>
      </c>
      <c r="V52" s="253">
        <v>0</v>
      </c>
      <c r="W52" s="253">
        <v>0</v>
      </c>
      <c r="X52" s="253">
        <v>0</v>
      </c>
      <c r="Y52" s="253">
        <v>0</v>
      </c>
      <c r="Z52" s="253">
        <v>0</v>
      </c>
      <c r="AA52" s="253">
        <v>0</v>
      </c>
      <c r="AB52" s="248">
        <f t="shared" si="3"/>
        <v>13.37051832</v>
      </c>
      <c r="AC52" s="249">
        <f t="shared" si="4"/>
        <v>0</v>
      </c>
    </row>
    <row r="53" spans="1:29" x14ac:dyDescent="0.25">
      <c r="A53" s="250" t="s">
        <v>481</v>
      </c>
      <c r="B53" s="251" t="s">
        <v>335</v>
      </c>
      <c r="C53" s="248">
        <v>0</v>
      </c>
      <c r="D53" s="248">
        <v>0</v>
      </c>
      <c r="E53" s="252">
        <f t="shared" si="10"/>
        <v>0</v>
      </c>
      <c r="F53" s="248">
        <f t="shared" si="6"/>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4">
        <v>0</v>
      </c>
      <c r="W53" s="253">
        <v>0</v>
      </c>
      <c r="X53" s="253">
        <v>0</v>
      </c>
      <c r="Y53" s="253">
        <v>0</v>
      </c>
      <c r="Z53" s="253">
        <v>0</v>
      </c>
      <c r="AA53" s="253">
        <v>0</v>
      </c>
      <c r="AB53" s="248">
        <f t="shared" si="3"/>
        <v>0</v>
      </c>
      <c r="AC53" s="249">
        <f t="shared" si="4"/>
        <v>0</v>
      </c>
    </row>
    <row r="54" spans="1:29" x14ac:dyDescent="0.25">
      <c r="A54" s="250" t="s">
        <v>482</v>
      </c>
      <c r="B54" s="257" t="s">
        <v>483</v>
      </c>
      <c r="C54" s="258">
        <f>C45</f>
        <v>0.65</v>
      </c>
      <c r="D54" s="258">
        <v>0</v>
      </c>
      <c r="E54" s="252">
        <f t="shared" si="10"/>
        <v>0.65</v>
      </c>
      <c r="F54" s="248">
        <f t="shared" si="6"/>
        <v>0.65</v>
      </c>
      <c r="G54" s="253">
        <v>0</v>
      </c>
      <c r="H54" s="253">
        <v>0</v>
      </c>
      <c r="I54" s="253">
        <v>0</v>
      </c>
      <c r="J54" s="253">
        <v>0</v>
      </c>
      <c r="K54" s="253">
        <v>0</v>
      </c>
      <c r="L54" s="253">
        <v>0.65</v>
      </c>
      <c r="M54" s="253">
        <v>0.65</v>
      </c>
      <c r="N54" s="253">
        <v>0</v>
      </c>
      <c r="O54" s="253">
        <v>0</v>
      </c>
      <c r="P54" s="253">
        <v>0</v>
      </c>
      <c r="Q54" s="253">
        <v>0</v>
      </c>
      <c r="R54" s="253">
        <v>0</v>
      </c>
      <c r="S54" s="253">
        <v>0</v>
      </c>
      <c r="T54" s="253">
        <v>0</v>
      </c>
      <c r="U54" s="253">
        <v>0</v>
      </c>
      <c r="V54" s="253">
        <v>0</v>
      </c>
      <c r="W54" s="253">
        <v>0</v>
      </c>
      <c r="X54" s="253">
        <v>0</v>
      </c>
      <c r="Y54" s="253">
        <v>0</v>
      </c>
      <c r="Z54" s="253">
        <v>0</v>
      </c>
      <c r="AA54" s="253">
        <v>0</v>
      </c>
      <c r="AB54" s="248">
        <f t="shared" si="3"/>
        <v>0.65</v>
      </c>
      <c r="AC54" s="249">
        <f t="shared" si="4"/>
        <v>0</v>
      </c>
    </row>
    <row r="55" spans="1:29" x14ac:dyDescent="0.25">
      <c r="A55" s="250" t="s">
        <v>484</v>
      </c>
      <c r="B55" s="257" t="s">
        <v>485</v>
      </c>
      <c r="C55" s="258">
        <v>0</v>
      </c>
      <c r="D55" s="258">
        <v>0</v>
      </c>
      <c r="E55" s="252">
        <f t="shared" si="10"/>
        <v>0</v>
      </c>
      <c r="F55" s="248">
        <f t="shared" si="6"/>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48">
        <f t="shared" si="3"/>
        <v>0</v>
      </c>
      <c r="AC55" s="249">
        <f t="shared" si="4"/>
        <v>0</v>
      </c>
    </row>
    <row r="56" spans="1:29" x14ac:dyDescent="0.25">
      <c r="A56" s="250" t="s">
        <v>486</v>
      </c>
      <c r="B56" s="257" t="s">
        <v>487</v>
      </c>
      <c r="C56" s="258">
        <f>C47+C48+C49</f>
        <v>0.97199999999999998</v>
      </c>
      <c r="D56" s="258">
        <v>0</v>
      </c>
      <c r="E56" s="252">
        <f t="shared" si="10"/>
        <v>0.97199999999999998</v>
      </c>
      <c r="F56" s="248">
        <f t="shared" si="6"/>
        <v>0.97199999999999998</v>
      </c>
      <c r="G56" s="253">
        <v>0</v>
      </c>
      <c r="H56" s="253">
        <v>0</v>
      </c>
      <c r="I56" s="253">
        <v>0</v>
      </c>
      <c r="J56" s="253">
        <v>0</v>
      </c>
      <c r="K56" s="253">
        <v>0</v>
      </c>
      <c r="L56" s="253">
        <v>0.97199999999999998</v>
      </c>
      <c r="M56" s="253">
        <v>0.97199999999999998</v>
      </c>
      <c r="N56" s="253">
        <v>0</v>
      </c>
      <c r="O56" s="253">
        <v>0</v>
      </c>
      <c r="P56" s="253">
        <v>0</v>
      </c>
      <c r="Q56" s="253">
        <v>0</v>
      </c>
      <c r="R56" s="253">
        <v>0</v>
      </c>
      <c r="S56" s="253">
        <v>0</v>
      </c>
      <c r="T56" s="253">
        <v>0</v>
      </c>
      <c r="U56" s="253">
        <v>0</v>
      </c>
      <c r="V56" s="253">
        <v>0</v>
      </c>
      <c r="W56" s="253">
        <v>0</v>
      </c>
      <c r="X56" s="253">
        <v>0</v>
      </c>
      <c r="Y56" s="253">
        <v>0</v>
      </c>
      <c r="Z56" s="253">
        <v>0</v>
      </c>
      <c r="AA56" s="253">
        <v>0</v>
      </c>
      <c r="AB56" s="248">
        <f t="shared" si="3"/>
        <v>0.97199999999999998</v>
      </c>
      <c r="AC56" s="249">
        <f t="shared" si="4"/>
        <v>0</v>
      </c>
    </row>
    <row r="57" spans="1:29" ht="18.75" x14ac:dyDescent="0.25">
      <c r="A57" s="250" t="s">
        <v>488</v>
      </c>
      <c r="B57" s="257" t="s">
        <v>468</v>
      </c>
      <c r="C57" s="258">
        <f>C50</f>
        <v>0</v>
      </c>
      <c r="D57" s="258">
        <v>0</v>
      </c>
      <c r="E57" s="252">
        <f t="shared" si="10"/>
        <v>0</v>
      </c>
      <c r="F57" s="248">
        <f t="shared" si="6"/>
        <v>0</v>
      </c>
      <c r="G57" s="253">
        <v>0</v>
      </c>
      <c r="H57" s="253">
        <v>0</v>
      </c>
      <c r="I57" s="253">
        <v>0</v>
      </c>
      <c r="J57" s="253">
        <v>0</v>
      </c>
      <c r="K57" s="253">
        <v>0</v>
      </c>
      <c r="L57" s="253">
        <v>0</v>
      </c>
      <c r="M57" s="253">
        <v>0</v>
      </c>
      <c r="N57" s="253">
        <v>0</v>
      </c>
      <c r="O57" s="253">
        <v>0</v>
      </c>
      <c r="P57" s="253">
        <v>0</v>
      </c>
      <c r="Q57" s="253">
        <v>0</v>
      </c>
      <c r="R57" s="253">
        <v>0</v>
      </c>
      <c r="S57" s="253">
        <v>0</v>
      </c>
      <c r="T57" s="253">
        <v>0</v>
      </c>
      <c r="U57" s="253">
        <v>0</v>
      </c>
      <c r="V57" s="253">
        <v>0</v>
      </c>
      <c r="W57" s="253">
        <v>0</v>
      </c>
      <c r="X57" s="253">
        <v>0</v>
      </c>
      <c r="Y57" s="253">
        <v>0</v>
      </c>
      <c r="Z57" s="253">
        <v>0</v>
      </c>
      <c r="AA57" s="253">
        <v>0</v>
      </c>
      <c r="AB57" s="248">
        <f t="shared" si="3"/>
        <v>0</v>
      </c>
      <c r="AC57" s="249">
        <f t="shared" si="4"/>
        <v>0</v>
      </c>
    </row>
    <row r="58" spans="1:29" ht="36.75" customHeight="1" x14ac:dyDescent="0.25">
      <c r="A58" s="246" t="s">
        <v>30</v>
      </c>
      <c r="B58" s="259" t="s">
        <v>489</v>
      </c>
      <c r="C58" s="258">
        <v>0</v>
      </c>
      <c r="D58" s="258">
        <v>0</v>
      </c>
      <c r="E58" s="252">
        <f t="shared" si="10"/>
        <v>0</v>
      </c>
      <c r="F58" s="248">
        <f t="shared" si="6"/>
        <v>0</v>
      </c>
      <c r="G58" s="248">
        <v>0</v>
      </c>
      <c r="H58" s="248">
        <v>0</v>
      </c>
      <c r="I58" s="248">
        <v>0</v>
      </c>
      <c r="J58" s="248">
        <v>0</v>
      </c>
      <c r="K58" s="248">
        <v>0</v>
      </c>
      <c r="L58" s="248">
        <v>0</v>
      </c>
      <c r="M58" s="248">
        <v>0</v>
      </c>
      <c r="N58" s="248">
        <v>0</v>
      </c>
      <c r="O58" s="248">
        <v>0</v>
      </c>
      <c r="P58" s="248">
        <v>0</v>
      </c>
      <c r="Q58" s="248">
        <v>0</v>
      </c>
      <c r="R58" s="248">
        <v>0</v>
      </c>
      <c r="S58" s="248">
        <v>0</v>
      </c>
      <c r="T58" s="248">
        <v>0</v>
      </c>
      <c r="U58" s="248">
        <v>0</v>
      </c>
      <c r="V58" s="256">
        <v>0</v>
      </c>
      <c r="W58" s="248">
        <v>0</v>
      </c>
      <c r="X58" s="248">
        <v>0</v>
      </c>
      <c r="Y58" s="248">
        <v>0</v>
      </c>
      <c r="Z58" s="248">
        <v>0</v>
      </c>
      <c r="AA58" s="248">
        <v>0</v>
      </c>
      <c r="AB58" s="248">
        <f t="shared" si="3"/>
        <v>0</v>
      </c>
      <c r="AC58" s="249">
        <f t="shared" si="4"/>
        <v>0</v>
      </c>
    </row>
    <row r="59" spans="1:29" x14ac:dyDescent="0.25">
      <c r="A59" s="246" t="s">
        <v>33</v>
      </c>
      <c r="B59" s="247" t="s">
        <v>490</v>
      </c>
      <c r="C59" s="248">
        <v>0</v>
      </c>
      <c r="D59" s="248">
        <v>0</v>
      </c>
      <c r="E59" s="252">
        <f t="shared" si="10"/>
        <v>0</v>
      </c>
      <c r="F59" s="248">
        <f t="shared" si="6"/>
        <v>0</v>
      </c>
      <c r="G59" s="248">
        <v>0</v>
      </c>
      <c r="H59" s="248">
        <v>0</v>
      </c>
      <c r="I59" s="248">
        <v>0</v>
      </c>
      <c r="J59" s="248">
        <v>0</v>
      </c>
      <c r="K59" s="248">
        <v>0</v>
      </c>
      <c r="L59" s="248">
        <v>0</v>
      </c>
      <c r="M59" s="248">
        <v>0</v>
      </c>
      <c r="N59" s="248">
        <v>0</v>
      </c>
      <c r="O59" s="248">
        <v>0</v>
      </c>
      <c r="P59" s="248">
        <v>0</v>
      </c>
      <c r="Q59" s="248">
        <v>0</v>
      </c>
      <c r="R59" s="248">
        <v>0</v>
      </c>
      <c r="S59" s="248">
        <v>0</v>
      </c>
      <c r="T59" s="248">
        <v>0</v>
      </c>
      <c r="U59" s="248">
        <v>0</v>
      </c>
      <c r="V59" s="256">
        <v>0</v>
      </c>
      <c r="W59" s="248">
        <v>0</v>
      </c>
      <c r="X59" s="248">
        <v>0</v>
      </c>
      <c r="Y59" s="248">
        <v>0</v>
      </c>
      <c r="Z59" s="248">
        <v>0</v>
      </c>
      <c r="AA59" s="248">
        <v>0</v>
      </c>
      <c r="AB59" s="248">
        <f t="shared" si="3"/>
        <v>0</v>
      </c>
      <c r="AC59" s="249">
        <f t="shared" si="4"/>
        <v>0</v>
      </c>
    </row>
    <row r="60" spans="1:29" x14ac:dyDescent="0.25">
      <c r="A60" s="250" t="s">
        <v>491</v>
      </c>
      <c r="B60" s="260" t="s">
        <v>471</v>
      </c>
      <c r="C60" s="261">
        <v>0</v>
      </c>
      <c r="D60" s="261">
        <v>0</v>
      </c>
      <c r="E60" s="252">
        <f t="shared" si="10"/>
        <v>0</v>
      </c>
      <c r="F60" s="248">
        <f t="shared" si="6"/>
        <v>0</v>
      </c>
      <c r="G60" s="253">
        <v>0</v>
      </c>
      <c r="H60" s="253">
        <v>0</v>
      </c>
      <c r="I60" s="253">
        <v>0</v>
      </c>
      <c r="J60" s="253">
        <v>0</v>
      </c>
      <c r="K60" s="253">
        <v>0</v>
      </c>
      <c r="L60" s="253">
        <v>0</v>
      </c>
      <c r="M60" s="253">
        <v>0</v>
      </c>
      <c r="N60" s="253">
        <v>0</v>
      </c>
      <c r="O60" s="253">
        <v>0</v>
      </c>
      <c r="P60" s="253">
        <v>0</v>
      </c>
      <c r="Q60" s="253">
        <v>0</v>
      </c>
      <c r="R60" s="253">
        <v>0</v>
      </c>
      <c r="S60" s="253">
        <v>0</v>
      </c>
      <c r="T60" s="253">
        <v>0</v>
      </c>
      <c r="U60" s="253">
        <v>0</v>
      </c>
      <c r="V60" s="253">
        <v>0</v>
      </c>
      <c r="W60" s="253">
        <v>0</v>
      </c>
      <c r="X60" s="253">
        <v>0</v>
      </c>
      <c r="Y60" s="253">
        <v>0</v>
      </c>
      <c r="Z60" s="253">
        <v>0</v>
      </c>
      <c r="AA60" s="253">
        <v>0</v>
      </c>
      <c r="AB60" s="248">
        <f t="shared" si="3"/>
        <v>0</v>
      </c>
      <c r="AC60" s="249">
        <f t="shared" si="4"/>
        <v>0</v>
      </c>
    </row>
    <row r="61" spans="1:29" x14ac:dyDescent="0.25">
      <c r="A61" s="250" t="s">
        <v>492</v>
      </c>
      <c r="B61" s="260" t="s">
        <v>458</v>
      </c>
      <c r="C61" s="261">
        <v>0.1</v>
      </c>
      <c r="D61" s="261">
        <v>0</v>
      </c>
      <c r="E61" s="252">
        <f t="shared" si="10"/>
        <v>0.1</v>
      </c>
      <c r="F61" s="248">
        <f t="shared" si="6"/>
        <v>0.1</v>
      </c>
      <c r="G61" s="253">
        <v>0</v>
      </c>
      <c r="H61" s="253">
        <v>0</v>
      </c>
      <c r="I61" s="253">
        <v>0</v>
      </c>
      <c r="J61" s="253">
        <v>0</v>
      </c>
      <c r="K61" s="253">
        <v>0</v>
      </c>
      <c r="L61" s="253">
        <v>0.1</v>
      </c>
      <c r="M61" s="253">
        <v>0.1</v>
      </c>
      <c r="N61" s="253">
        <v>0</v>
      </c>
      <c r="O61" s="253">
        <v>0</v>
      </c>
      <c r="P61" s="253">
        <v>0</v>
      </c>
      <c r="Q61" s="253">
        <v>0</v>
      </c>
      <c r="R61" s="253">
        <v>0</v>
      </c>
      <c r="S61" s="253">
        <v>0</v>
      </c>
      <c r="T61" s="253">
        <v>0</v>
      </c>
      <c r="U61" s="253">
        <v>0</v>
      </c>
      <c r="V61" s="253">
        <v>0</v>
      </c>
      <c r="W61" s="253">
        <v>0</v>
      </c>
      <c r="X61" s="253">
        <v>0</v>
      </c>
      <c r="Y61" s="253">
        <v>0</v>
      </c>
      <c r="Z61" s="253">
        <v>0</v>
      </c>
      <c r="AA61" s="253">
        <v>0</v>
      </c>
      <c r="AB61" s="248">
        <f t="shared" si="3"/>
        <v>0.1</v>
      </c>
      <c r="AC61" s="249">
        <f t="shared" si="4"/>
        <v>0</v>
      </c>
    </row>
    <row r="62" spans="1:29" x14ac:dyDescent="0.25">
      <c r="A62" s="250" t="s">
        <v>493</v>
      </c>
      <c r="B62" s="260" t="s">
        <v>460</v>
      </c>
      <c r="C62" s="261">
        <v>0</v>
      </c>
      <c r="D62" s="261">
        <v>0</v>
      </c>
      <c r="E62" s="252">
        <f t="shared" si="10"/>
        <v>0</v>
      </c>
      <c r="F62" s="248">
        <f t="shared" si="6"/>
        <v>0</v>
      </c>
      <c r="G62" s="253">
        <v>0</v>
      </c>
      <c r="H62" s="253">
        <v>0</v>
      </c>
      <c r="I62" s="253">
        <v>0</v>
      </c>
      <c r="J62" s="253">
        <v>0</v>
      </c>
      <c r="K62" s="253">
        <v>0</v>
      </c>
      <c r="L62" s="253">
        <v>0</v>
      </c>
      <c r="M62" s="253">
        <v>0</v>
      </c>
      <c r="N62" s="253">
        <v>0</v>
      </c>
      <c r="O62" s="253">
        <v>0</v>
      </c>
      <c r="P62" s="253">
        <v>0</v>
      </c>
      <c r="Q62" s="253">
        <v>0</v>
      </c>
      <c r="R62" s="253">
        <v>0</v>
      </c>
      <c r="S62" s="253">
        <v>0</v>
      </c>
      <c r="T62" s="253">
        <v>0</v>
      </c>
      <c r="U62" s="253">
        <v>0</v>
      </c>
      <c r="V62" s="253">
        <v>0</v>
      </c>
      <c r="W62" s="253">
        <v>0</v>
      </c>
      <c r="X62" s="253">
        <v>0</v>
      </c>
      <c r="Y62" s="253">
        <v>0</v>
      </c>
      <c r="Z62" s="253">
        <v>0</v>
      </c>
      <c r="AA62" s="253">
        <v>0</v>
      </c>
      <c r="AB62" s="248">
        <f t="shared" si="3"/>
        <v>0</v>
      </c>
      <c r="AC62" s="249">
        <f t="shared" si="4"/>
        <v>0</v>
      </c>
    </row>
    <row r="63" spans="1:29" x14ac:dyDescent="0.25">
      <c r="A63" s="250" t="s">
        <v>494</v>
      </c>
      <c r="B63" s="260" t="s">
        <v>495</v>
      </c>
      <c r="C63" s="261">
        <v>0.09</v>
      </c>
      <c r="D63" s="261">
        <v>0</v>
      </c>
      <c r="E63" s="252">
        <f t="shared" si="10"/>
        <v>0.09</v>
      </c>
      <c r="F63" s="248">
        <f t="shared" si="6"/>
        <v>0.09</v>
      </c>
      <c r="G63" s="253">
        <v>0</v>
      </c>
      <c r="H63" s="253">
        <v>0</v>
      </c>
      <c r="I63" s="253">
        <v>0</v>
      </c>
      <c r="J63" s="253">
        <v>0</v>
      </c>
      <c r="K63" s="253">
        <v>0</v>
      </c>
      <c r="L63" s="253">
        <v>0.09</v>
      </c>
      <c r="M63" s="253">
        <v>0.09</v>
      </c>
      <c r="N63" s="253">
        <v>0</v>
      </c>
      <c r="O63" s="253">
        <v>0</v>
      </c>
      <c r="P63" s="253">
        <v>0</v>
      </c>
      <c r="Q63" s="253">
        <v>0</v>
      </c>
      <c r="R63" s="253">
        <v>0</v>
      </c>
      <c r="S63" s="253">
        <v>0</v>
      </c>
      <c r="T63" s="253">
        <v>0</v>
      </c>
      <c r="U63" s="253">
        <v>0</v>
      </c>
      <c r="V63" s="253">
        <v>0</v>
      </c>
      <c r="W63" s="253">
        <v>0</v>
      </c>
      <c r="X63" s="253">
        <v>0</v>
      </c>
      <c r="Y63" s="253">
        <v>0</v>
      </c>
      <c r="Z63" s="253">
        <v>0</v>
      </c>
      <c r="AA63" s="253">
        <v>0</v>
      </c>
      <c r="AB63" s="248">
        <f t="shared" si="3"/>
        <v>0.09</v>
      </c>
      <c r="AC63" s="249">
        <f t="shared" si="4"/>
        <v>0</v>
      </c>
    </row>
    <row r="64" spans="1:29" ht="18.75" x14ac:dyDescent="0.25">
      <c r="A64" s="250" t="s">
        <v>496</v>
      </c>
      <c r="B64" s="257" t="s">
        <v>497</v>
      </c>
      <c r="C64" s="258">
        <v>0</v>
      </c>
      <c r="D64" s="258">
        <v>0</v>
      </c>
      <c r="E64" s="252">
        <f t="shared" si="10"/>
        <v>0</v>
      </c>
      <c r="F64" s="248">
        <f t="shared" si="6"/>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48">
        <f t="shared" si="3"/>
        <v>0</v>
      </c>
      <c r="AC64" s="249">
        <f t="shared" si="4"/>
        <v>0</v>
      </c>
    </row>
    <row r="65" spans="1:28" x14ac:dyDescent="0.25">
      <c r="A65" s="262"/>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row>
    <row r="66" spans="1:28" ht="54" customHeight="1" x14ac:dyDescent="0.25">
      <c r="B66" s="415"/>
      <c r="C66" s="415"/>
      <c r="D66" s="415"/>
      <c r="E66" s="415"/>
      <c r="F66" s="415"/>
      <c r="G66" s="415"/>
      <c r="H66" s="415"/>
      <c r="I66" s="415"/>
      <c r="J66" s="264"/>
      <c r="K66" s="264"/>
      <c r="L66" s="264"/>
      <c r="M66" s="264"/>
      <c r="N66" s="264"/>
      <c r="O66" s="264"/>
      <c r="P66" s="264"/>
      <c r="Q66" s="264"/>
      <c r="R66" s="264"/>
      <c r="S66" s="264"/>
      <c r="T66" s="264"/>
      <c r="U66" s="264"/>
      <c r="V66" s="264"/>
      <c r="W66" s="264"/>
      <c r="X66" s="264"/>
      <c r="Y66" s="264"/>
      <c r="Z66" s="264"/>
      <c r="AA66" s="264"/>
      <c r="AB66" s="265"/>
    </row>
    <row r="68" spans="1:28" ht="50.25" customHeight="1" x14ac:dyDescent="0.25">
      <c r="B68" s="415"/>
      <c r="C68" s="415"/>
      <c r="D68" s="415"/>
      <c r="E68" s="415"/>
      <c r="F68" s="415"/>
      <c r="G68" s="415"/>
      <c r="H68" s="415"/>
      <c r="I68" s="415"/>
      <c r="J68" s="264"/>
      <c r="K68" s="264"/>
      <c r="L68" s="264"/>
      <c r="M68" s="264"/>
      <c r="N68" s="264"/>
      <c r="O68" s="264"/>
      <c r="P68" s="264"/>
      <c r="Q68" s="264"/>
      <c r="R68" s="264"/>
      <c r="S68" s="264"/>
      <c r="T68" s="264"/>
      <c r="U68" s="264"/>
      <c r="V68" s="264"/>
      <c r="W68" s="264"/>
      <c r="X68" s="264"/>
      <c r="Y68" s="264"/>
      <c r="Z68" s="264"/>
      <c r="AA68" s="264"/>
    </row>
    <row r="70" spans="1:28" ht="36.75" customHeight="1" x14ac:dyDescent="0.25">
      <c r="B70" s="415"/>
      <c r="C70" s="415"/>
      <c r="D70" s="415"/>
      <c r="E70" s="415"/>
      <c r="F70" s="415"/>
      <c r="G70" s="415"/>
      <c r="H70" s="415"/>
      <c r="I70" s="415"/>
      <c r="J70" s="264"/>
      <c r="K70" s="264"/>
      <c r="L70" s="264"/>
      <c r="M70" s="264"/>
      <c r="N70" s="264"/>
      <c r="O70" s="264"/>
      <c r="P70" s="264"/>
      <c r="Q70" s="264"/>
      <c r="R70" s="264"/>
      <c r="S70" s="264"/>
      <c r="T70" s="264"/>
      <c r="U70" s="264"/>
      <c r="V70" s="264"/>
      <c r="W70" s="264"/>
      <c r="X70" s="264"/>
      <c r="Y70" s="264"/>
      <c r="Z70" s="264"/>
      <c r="AA70" s="264"/>
    </row>
    <row r="72" spans="1:28" ht="51" customHeight="1" x14ac:dyDescent="0.25">
      <c r="B72" s="415"/>
      <c r="C72" s="415"/>
      <c r="D72" s="415"/>
      <c r="E72" s="415"/>
      <c r="F72" s="415"/>
      <c r="G72" s="415"/>
      <c r="H72" s="415"/>
      <c r="I72" s="415"/>
      <c r="J72" s="264"/>
      <c r="K72" s="264"/>
      <c r="L72" s="264"/>
      <c r="M72" s="264"/>
      <c r="N72" s="264"/>
      <c r="O72" s="264"/>
      <c r="P72" s="264"/>
      <c r="Q72" s="264"/>
      <c r="R72" s="264"/>
      <c r="S72" s="264"/>
      <c r="T72" s="264"/>
      <c r="U72" s="264"/>
      <c r="V72" s="264"/>
      <c r="W72" s="264"/>
      <c r="X72" s="264"/>
      <c r="Y72" s="264"/>
      <c r="Z72" s="264"/>
      <c r="AA72" s="264"/>
    </row>
    <row r="73" spans="1:28" ht="32.25" customHeight="1" x14ac:dyDescent="0.25">
      <c r="B73" s="415"/>
      <c r="C73" s="415"/>
      <c r="D73" s="415"/>
      <c r="E73" s="415"/>
      <c r="F73" s="415"/>
      <c r="G73" s="415"/>
      <c r="H73" s="415"/>
      <c r="I73" s="415"/>
      <c r="J73" s="264"/>
      <c r="K73" s="264"/>
      <c r="L73" s="264"/>
      <c r="M73" s="264"/>
      <c r="N73" s="264"/>
      <c r="O73" s="264"/>
      <c r="P73" s="264"/>
      <c r="Q73" s="264"/>
      <c r="R73" s="264"/>
      <c r="S73" s="264"/>
      <c r="T73" s="264"/>
      <c r="U73" s="264"/>
      <c r="V73" s="264"/>
      <c r="W73" s="264"/>
      <c r="X73" s="264"/>
      <c r="Y73" s="264"/>
      <c r="Z73" s="264"/>
      <c r="AA73" s="264"/>
    </row>
    <row r="74" spans="1:28" ht="51.75" customHeight="1" x14ac:dyDescent="0.25">
      <c r="B74" s="415"/>
      <c r="C74" s="415"/>
      <c r="D74" s="415"/>
      <c r="E74" s="415"/>
      <c r="F74" s="415"/>
      <c r="G74" s="415"/>
      <c r="H74" s="415"/>
      <c r="I74" s="415"/>
      <c r="J74" s="264"/>
      <c r="K74" s="264"/>
      <c r="L74" s="264"/>
      <c r="M74" s="264"/>
      <c r="N74" s="264"/>
      <c r="O74" s="264"/>
      <c r="P74" s="264"/>
      <c r="Q74" s="264"/>
      <c r="R74" s="264"/>
      <c r="S74" s="264"/>
      <c r="T74" s="264"/>
      <c r="U74" s="264"/>
      <c r="V74" s="264"/>
      <c r="W74" s="264"/>
      <c r="X74" s="264"/>
      <c r="Y74" s="264"/>
      <c r="Z74" s="264"/>
      <c r="AA74" s="264"/>
    </row>
    <row r="75" spans="1:28" ht="21.75" customHeight="1" x14ac:dyDescent="0.25">
      <c r="B75" s="416"/>
      <c r="C75" s="416"/>
      <c r="D75" s="416"/>
      <c r="E75" s="416"/>
      <c r="F75" s="416"/>
      <c r="G75" s="416"/>
      <c r="H75" s="416"/>
      <c r="I75" s="416"/>
      <c r="J75" s="266"/>
      <c r="K75" s="266"/>
      <c r="L75" s="266"/>
      <c r="M75" s="266"/>
      <c r="N75" s="266"/>
      <c r="O75" s="266"/>
      <c r="P75" s="266"/>
      <c r="Q75" s="266"/>
      <c r="R75" s="266"/>
      <c r="S75" s="266"/>
      <c r="T75" s="266"/>
      <c r="U75" s="266"/>
      <c r="V75" s="266"/>
      <c r="W75" s="266"/>
      <c r="X75" s="266"/>
      <c r="Y75" s="266"/>
      <c r="Z75" s="266"/>
      <c r="AA75" s="266"/>
    </row>
    <row r="76" spans="1:28" ht="23.25" customHeight="1" x14ac:dyDescent="0.25"/>
    <row r="77" spans="1:28" ht="18.75" customHeight="1" x14ac:dyDescent="0.25">
      <c r="B77" s="417"/>
      <c r="C77" s="417"/>
      <c r="D77" s="417"/>
      <c r="E77" s="417"/>
      <c r="F77" s="417"/>
      <c r="G77" s="417"/>
      <c r="H77" s="417"/>
      <c r="I77" s="417"/>
      <c r="J77" s="263"/>
      <c r="K77" s="263"/>
      <c r="L77" s="263"/>
      <c r="M77" s="263"/>
      <c r="N77" s="263"/>
      <c r="O77" s="263"/>
      <c r="P77" s="263"/>
      <c r="Q77" s="263"/>
      <c r="R77" s="263"/>
      <c r="S77" s="263"/>
      <c r="T77" s="263"/>
      <c r="U77" s="263"/>
      <c r="V77" s="263"/>
      <c r="W77" s="263"/>
      <c r="X77" s="263"/>
      <c r="Y77" s="263"/>
      <c r="Z77" s="263"/>
      <c r="AA77" s="263"/>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C64">
    <cfRule type="cellIs" dxfId="19" priority="28" operator="notEqual">
      <formula>0</formula>
    </cfRule>
  </conditionalFormatting>
  <conditionalFormatting sqref="T24:AB24 T35:AB64 T31:W34 T25:W29 Y25:AB34 S30:W30 O30:Q30 K24:K29 K30:L30 K31:K64 G24:I64">
    <cfRule type="cellIs" dxfId="18" priority="25" operator="notEqual">
      <formula>0</formula>
    </cfRule>
  </conditionalFormatting>
  <conditionalFormatting sqref="AC24:AC64">
    <cfRule type="cellIs" dxfId="17" priority="24" operator="notEqual">
      <formula>0</formula>
    </cfRule>
  </conditionalFormatting>
  <conditionalFormatting sqref="L24:L26 L28:L29 O27 Q27 S31:S64 S24:S29 O28:Q29 O31:Q64 O24:Q26 L31:L34 L35:M64">
    <cfRule type="cellIs" dxfId="16" priority="23" operator="notEqual">
      <formula>0</formula>
    </cfRule>
  </conditionalFormatting>
  <conditionalFormatting sqref="X25:X34">
    <cfRule type="cellIs" dxfId="15" priority="22" operator="notEqual">
      <formula>0</formula>
    </cfRule>
  </conditionalFormatting>
  <conditionalFormatting sqref="L27">
    <cfRule type="cellIs" dxfId="14" priority="18" operator="notEqual">
      <formula>0</formula>
    </cfRule>
  </conditionalFormatting>
  <conditionalFormatting sqref="P27">
    <cfRule type="cellIs" dxfId="13" priority="17" operator="notEqual">
      <formula>0</formula>
    </cfRule>
  </conditionalFormatting>
  <conditionalFormatting sqref="D24:D64">
    <cfRule type="cellIs" dxfId="12" priority="16" operator="notEqual">
      <formula>0</formula>
    </cfRule>
  </conditionalFormatting>
  <conditionalFormatting sqref="E24:E64">
    <cfRule type="cellIs" dxfId="11" priority="15" operator="notEqual">
      <formula>0</formula>
    </cfRule>
  </conditionalFormatting>
  <conditionalFormatting sqref="R30">
    <cfRule type="cellIs" dxfId="10" priority="14" operator="notEqual">
      <formula>0</formula>
    </cfRule>
  </conditionalFormatting>
  <conditionalFormatting sqref="R31:R64 R24:R29">
    <cfRule type="cellIs" dxfId="9" priority="13" operator="notEqual">
      <formula>0</formula>
    </cfRule>
  </conditionalFormatting>
  <conditionalFormatting sqref="N30">
    <cfRule type="cellIs" dxfId="8" priority="12" operator="notEqual">
      <formula>0</formula>
    </cfRule>
  </conditionalFormatting>
  <conditionalFormatting sqref="N31:N64 N24:N29">
    <cfRule type="cellIs" dxfId="7" priority="11" operator="notEqual">
      <formula>0</formula>
    </cfRule>
  </conditionalFormatting>
  <conditionalFormatting sqref="J30">
    <cfRule type="cellIs" dxfId="6" priority="10" operator="notEqual">
      <formula>0</formula>
    </cfRule>
  </conditionalFormatting>
  <conditionalFormatting sqref="J31:J64 J24:J29">
    <cfRule type="cellIs" dxfId="5" priority="9" operator="notEqual">
      <formula>0</formula>
    </cfRule>
  </conditionalFormatting>
  <conditionalFormatting sqref="F30">
    <cfRule type="cellIs" dxfId="4" priority="8" operator="greaterThan">
      <formula>0</formula>
    </cfRule>
  </conditionalFormatting>
  <conditionalFormatting sqref="F30">
    <cfRule type="cellIs" dxfId="3" priority="7" operator="notEqual">
      <formula>0</formula>
    </cfRule>
  </conditionalFormatting>
  <conditionalFormatting sqref="F24:F29 F31:F64">
    <cfRule type="cellIs" dxfId="2" priority="6" operator="notEqual">
      <formula>0</formula>
    </cfRule>
  </conditionalFormatting>
  <conditionalFormatting sqref="M30">
    <cfRule type="cellIs" dxfId="1" priority="2" operator="notEqual">
      <formula>0</formula>
    </cfRule>
  </conditionalFormatting>
  <conditionalFormatting sqref="M31:M34 M24:M29">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X25" zoomScale="85" workbookViewId="0">
      <selection activeCell="AJ36" sqref="AJ36"/>
    </sheetView>
  </sheetViews>
  <sheetFormatPr defaultColWidth="9.140625" defaultRowHeight="15" x14ac:dyDescent="0.25"/>
  <cols>
    <col min="1" max="1" width="6.140625" style="267" customWidth="1"/>
    <col min="2" max="2" width="23.140625" style="267" customWidth="1"/>
    <col min="3" max="3" width="13.85546875" style="267" customWidth="1"/>
    <col min="4" max="4" width="15.140625" style="267" customWidth="1"/>
    <col min="5" max="12" width="7.7109375" style="267" customWidth="1"/>
    <col min="13" max="13" width="10.7109375" style="267" customWidth="1"/>
    <col min="14" max="14" width="58.85546875" style="267" customWidth="1"/>
    <col min="15" max="15" width="10.7109375" style="267" customWidth="1"/>
    <col min="16" max="17" width="13.42578125" style="267" customWidth="1"/>
    <col min="18" max="18" width="17" style="267" customWidth="1"/>
    <col min="19" max="20" width="9.7109375" style="267" customWidth="1"/>
    <col min="21" max="21" width="11.42578125" style="267" customWidth="1"/>
    <col min="22" max="22" width="12.7109375" style="267" customWidth="1"/>
    <col min="23" max="23" width="16.42578125" style="267" customWidth="1"/>
    <col min="24" max="25" width="10.7109375" style="267" customWidth="1"/>
    <col min="26" max="26" width="7.7109375" style="267" customWidth="1"/>
    <col min="27" max="28" width="10.7109375" style="267" customWidth="1"/>
    <col min="29" max="29" width="15.85546875" style="267" customWidth="1"/>
    <col min="30" max="30" width="13.28515625" style="267" customWidth="1"/>
    <col min="31" max="31" width="15.85546875" style="267" customWidth="1"/>
    <col min="32" max="32" width="11.7109375" style="267" customWidth="1"/>
    <col min="33" max="33" width="11.5703125" style="267" customWidth="1"/>
    <col min="34" max="35" width="9.7109375" style="267" customWidth="1"/>
    <col min="36" max="36" width="11.7109375" style="267" customWidth="1"/>
    <col min="37" max="37" width="12" style="267" customWidth="1"/>
    <col min="38" max="38" width="12.28515625" style="267" customWidth="1"/>
    <col min="39" max="41" width="9.7109375" style="267" customWidth="1"/>
    <col min="42" max="42" width="12.42578125" style="267" customWidth="1"/>
    <col min="43" max="43" width="12" style="267" customWidth="1"/>
    <col min="44" max="44" width="14.140625" style="267" customWidth="1"/>
    <col min="45" max="46" width="13.28515625" style="267" customWidth="1"/>
    <col min="47" max="47" width="10.7109375" style="267" customWidth="1"/>
    <col min="48" max="48" width="15.7109375" style="267" customWidth="1"/>
    <col min="49" max="16384" width="9.140625" style="267"/>
  </cols>
  <sheetData>
    <row r="1" spans="1:48" ht="18.75" x14ac:dyDescent="0.25">
      <c r="AV1" s="4" t="s">
        <v>0</v>
      </c>
    </row>
    <row r="2" spans="1:48" ht="18.75" x14ac:dyDescent="0.3">
      <c r="AV2" s="5" t="s">
        <v>1</v>
      </c>
    </row>
    <row r="3" spans="1:48" ht="18.75" x14ac:dyDescent="0.3">
      <c r="AV3" s="5" t="s">
        <v>141</v>
      </c>
    </row>
    <row r="4" spans="1:48" ht="18.75" x14ac:dyDescent="0.3">
      <c r="AV4" s="5"/>
    </row>
    <row r="5" spans="1:48" ht="18.75" customHeight="1" x14ac:dyDescent="0.25">
      <c r="A5" s="334" t="str">
        <f>'1. паспорт местоположение'!A5:C5</f>
        <v>Год раскрытия информации: 2025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row>
    <row r="6" spans="1:48" ht="18.75" x14ac:dyDescent="0.3">
      <c r="AV6" s="5"/>
    </row>
    <row r="7" spans="1:48" ht="18.75" x14ac:dyDescent="0.25">
      <c r="A7" s="335" t="s">
        <v>4</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x14ac:dyDescent="0.25">
      <c r="A9" s="345" t="str">
        <f>'1. паспорт местоположение'!A9:C9</f>
        <v>Акционерное общество "Россети Янтарь" ДЗО  ПАО "Россети"</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x14ac:dyDescent="0.25">
      <c r="A12" s="345" t="str">
        <f>'1. паспорт местоположение'!A12:C12</f>
        <v>N_22-1313</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7" t="s">
        <v>8</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ht="33" customHeight="1" x14ac:dyDescent="0.25">
      <c r="A15" s="34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7" t="s">
        <v>10</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x14ac:dyDescent="0.25">
      <c r="A21" s="419" t="s">
        <v>498</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20" t="s">
        <v>499</v>
      </c>
      <c r="B22" s="423" t="s">
        <v>500</v>
      </c>
      <c r="C22" s="420" t="s">
        <v>501</v>
      </c>
      <c r="D22" s="420" t="s">
        <v>502</v>
      </c>
      <c r="E22" s="426" t="s">
        <v>503</v>
      </c>
      <c r="F22" s="427"/>
      <c r="G22" s="427"/>
      <c r="H22" s="427"/>
      <c r="I22" s="427"/>
      <c r="J22" s="427"/>
      <c r="K22" s="427"/>
      <c r="L22" s="428"/>
      <c r="M22" s="420" t="s">
        <v>504</v>
      </c>
      <c r="N22" s="420" t="s">
        <v>505</v>
      </c>
      <c r="O22" s="420" t="s">
        <v>506</v>
      </c>
      <c r="P22" s="429" t="s">
        <v>507</v>
      </c>
      <c r="Q22" s="429" t="s">
        <v>508</v>
      </c>
      <c r="R22" s="429" t="s">
        <v>509</v>
      </c>
      <c r="S22" s="429" t="s">
        <v>510</v>
      </c>
      <c r="T22" s="429"/>
      <c r="U22" s="430" t="s">
        <v>511</v>
      </c>
      <c r="V22" s="430" t="s">
        <v>512</v>
      </c>
      <c r="W22" s="429" t="s">
        <v>513</v>
      </c>
      <c r="X22" s="429" t="s">
        <v>514</v>
      </c>
      <c r="Y22" s="429" t="s">
        <v>515</v>
      </c>
      <c r="Z22" s="431" t="s">
        <v>516</v>
      </c>
      <c r="AA22" s="429" t="s">
        <v>517</v>
      </c>
      <c r="AB22" s="429" t="s">
        <v>518</v>
      </c>
      <c r="AC22" s="429" t="s">
        <v>519</v>
      </c>
      <c r="AD22" s="429" t="s">
        <v>520</v>
      </c>
      <c r="AE22" s="429" t="s">
        <v>521</v>
      </c>
      <c r="AF22" s="429" t="s">
        <v>522</v>
      </c>
      <c r="AG22" s="429"/>
      <c r="AH22" s="429"/>
      <c r="AI22" s="429"/>
      <c r="AJ22" s="429"/>
      <c r="AK22" s="429"/>
      <c r="AL22" s="429" t="s">
        <v>523</v>
      </c>
      <c r="AM22" s="429"/>
      <c r="AN22" s="429"/>
      <c r="AO22" s="429"/>
      <c r="AP22" s="429" t="s">
        <v>524</v>
      </c>
      <c r="AQ22" s="429"/>
      <c r="AR22" s="429" t="s">
        <v>525</v>
      </c>
      <c r="AS22" s="429" t="s">
        <v>526</v>
      </c>
      <c r="AT22" s="429" t="s">
        <v>527</v>
      </c>
      <c r="AU22" s="429" t="s">
        <v>528</v>
      </c>
      <c r="AV22" s="434" t="s">
        <v>529</v>
      </c>
    </row>
    <row r="23" spans="1:48" ht="64.5" customHeight="1" x14ac:dyDescent="0.25">
      <c r="A23" s="421"/>
      <c r="B23" s="424"/>
      <c r="C23" s="421"/>
      <c r="D23" s="421"/>
      <c r="E23" s="436" t="s">
        <v>530</v>
      </c>
      <c r="F23" s="438" t="s">
        <v>335</v>
      </c>
      <c r="G23" s="438" t="s">
        <v>483</v>
      </c>
      <c r="H23" s="438" t="s">
        <v>485</v>
      </c>
      <c r="I23" s="440" t="s">
        <v>531</v>
      </c>
      <c r="J23" s="440" t="s">
        <v>532</v>
      </c>
      <c r="K23" s="440" t="s">
        <v>533</v>
      </c>
      <c r="L23" s="438" t="s">
        <v>247</v>
      </c>
      <c r="M23" s="421"/>
      <c r="N23" s="421"/>
      <c r="O23" s="421"/>
      <c r="P23" s="429"/>
      <c r="Q23" s="429"/>
      <c r="R23" s="429"/>
      <c r="S23" s="442" t="s">
        <v>356</v>
      </c>
      <c r="T23" s="442" t="s">
        <v>357</v>
      </c>
      <c r="U23" s="430"/>
      <c r="V23" s="430"/>
      <c r="W23" s="429"/>
      <c r="X23" s="429"/>
      <c r="Y23" s="429"/>
      <c r="Z23" s="429"/>
      <c r="AA23" s="429"/>
      <c r="AB23" s="429"/>
      <c r="AC23" s="429"/>
      <c r="AD23" s="429"/>
      <c r="AE23" s="429"/>
      <c r="AF23" s="429" t="s">
        <v>534</v>
      </c>
      <c r="AG23" s="429"/>
      <c r="AH23" s="429" t="s">
        <v>535</v>
      </c>
      <c r="AI23" s="429"/>
      <c r="AJ23" s="420" t="s">
        <v>536</v>
      </c>
      <c r="AK23" s="420" t="s">
        <v>537</v>
      </c>
      <c r="AL23" s="420" t="s">
        <v>538</v>
      </c>
      <c r="AM23" s="420" t="s">
        <v>539</v>
      </c>
      <c r="AN23" s="420" t="s">
        <v>540</v>
      </c>
      <c r="AO23" s="420" t="s">
        <v>541</v>
      </c>
      <c r="AP23" s="420" t="s">
        <v>542</v>
      </c>
      <c r="AQ23" s="432" t="s">
        <v>357</v>
      </c>
      <c r="AR23" s="429"/>
      <c r="AS23" s="429"/>
      <c r="AT23" s="429"/>
      <c r="AU23" s="429"/>
      <c r="AV23" s="435"/>
    </row>
    <row r="24" spans="1:48" ht="96.75" customHeight="1" x14ac:dyDescent="0.25">
      <c r="A24" s="422"/>
      <c r="B24" s="425"/>
      <c r="C24" s="422"/>
      <c r="D24" s="422"/>
      <c r="E24" s="437"/>
      <c r="F24" s="439"/>
      <c r="G24" s="439"/>
      <c r="H24" s="439"/>
      <c r="I24" s="441"/>
      <c r="J24" s="441"/>
      <c r="K24" s="441"/>
      <c r="L24" s="439"/>
      <c r="M24" s="422"/>
      <c r="N24" s="422"/>
      <c r="O24" s="422"/>
      <c r="P24" s="429"/>
      <c r="Q24" s="429"/>
      <c r="R24" s="429"/>
      <c r="S24" s="443"/>
      <c r="T24" s="443"/>
      <c r="U24" s="430"/>
      <c r="V24" s="430"/>
      <c r="W24" s="429"/>
      <c r="X24" s="429"/>
      <c r="Y24" s="429"/>
      <c r="Z24" s="429"/>
      <c r="AA24" s="429"/>
      <c r="AB24" s="429"/>
      <c r="AC24" s="429"/>
      <c r="AD24" s="429"/>
      <c r="AE24" s="429"/>
      <c r="AF24" s="268" t="s">
        <v>543</v>
      </c>
      <c r="AG24" s="268" t="s">
        <v>544</v>
      </c>
      <c r="AH24" s="269" t="s">
        <v>356</v>
      </c>
      <c r="AI24" s="269" t="s">
        <v>357</v>
      </c>
      <c r="AJ24" s="422"/>
      <c r="AK24" s="422"/>
      <c r="AL24" s="422"/>
      <c r="AM24" s="422"/>
      <c r="AN24" s="422"/>
      <c r="AO24" s="422"/>
      <c r="AP24" s="422"/>
      <c r="AQ24" s="433"/>
      <c r="AR24" s="429"/>
      <c r="AS24" s="429"/>
      <c r="AT24" s="429"/>
      <c r="AU24" s="429"/>
      <c r="AV24" s="435"/>
    </row>
    <row r="25" spans="1:48" s="270" customFormat="1" ht="11.25" x14ac:dyDescent="0.2">
      <c r="A25" s="271">
        <v>1</v>
      </c>
      <c r="B25" s="271">
        <v>2</v>
      </c>
      <c r="C25" s="271">
        <v>4</v>
      </c>
      <c r="D25" s="271">
        <v>5</v>
      </c>
      <c r="E25" s="271">
        <v>6</v>
      </c>
      <c r="F25" s="271">
        <f>E25+1</f>
        <v>7</v>
      </c>
      <c r="G25" s="271">
        <f t="shared" ref="G25:H25" si="0">F25+1</f>
        <v>8</v>
      </c>
      <c r="H25" s="271">
        <f t="shared" si="0"/>
        <v>9</v>
      </c>
      <c r="I25" s="271">
        <f t="shared" ref="I25:AV25" si="1">H25+1</f>
        <v>10</v>
      </c>
      <c r="J25" s="271">
        <f t="shared" si="1"/>
        <v>11</v>
      </c>
      <c r="K25" s="271">
        <f t="shared" si="1"/>
        <v>12</v>
      </c>
      <c r="L25" s="271">
        <f t="shared" si="1"/>
        <v>13</v>
      </c>
      <c r="M25" s="271">
        <f t="shared" si="1"/>
        <v>14</v>
      </c>
      <c r="N25" s="271">
        <f t="shared" si="1"/>
        <v>15</v>
      </c>
      <c r="O25" s="271">
        <f t="shared" si="1"/>
        <v>16</v>
      </c>
      <c r="P25" s="271">
        <f t="shared" si="1"/>
        <v>17</v>
      </c>
      <c r="Q25" s="271">
        <f t="shared" si="1"/>
        <v>18</v>
      </c>
      <c r="R25" s="271">
        <f t="shared" si="1"/>
        <v>19</v>
      </c>
      <c r="S25" s="271">
        <f t="shared" si="1"/>
        <v>20</v>
      </c>
      <c r="T25" s="271">
        <f t="shared" si="1"/>
        <v>21</v>
      </c>
      <c r="U25" s="271">
        <f t="shared" si="1"/>
        <v>22</v>
      </c>
      <c r="V25" s="271">
        <f t="shared" si="1"/>
        <v>23</v>
      </c>
      <c r="W25" s="271">
        <f t="shared" si="1"/>
        <v>24</v>
      </c>
      <c r="X25" s="271">
        <f t="shared" si="1"/>
        <v>25</v>
      </c>
      <c r="Y25" s="271">
        <f t="shared" si="1"/>
        <v>26</v>
      </c>
      <c r="Z25" s="271">
        <f t="shared" si="1"/>
        <v>27</v>
      </c>
      <c r="AA25" s="271">
        <f t="shared" si="1"/>
        <v>28</v>
      </c>
      <c r="AB25" s="271">
        <f t="shared" si="1"/>
        <v>29</v>
      </c>
      <c r="AC25" s="271">
        <f t="shared" si="1"/>
        <v>30</v>
      </c>
      <c r="AD25" s="271">
        <f t="shared" si="1"/>
        <v>31</v>
      </c>
      <c r="AE25" s="271">
        <f t="shared" si="1"/>
        <v>32</v>
      </c>
      <c r="AF25" s="271">
        <f t="shared" si="1"/>
        <v>33</v>
      </c>
      <c r="AG25" s="271">
        <f t="shared" si="1"/>
        <v>34</v>
      </c>
      <c r="AH25" s="271">
        <f t="shared" si="1"/>
        <v>35</v>
      </c>
      <c r="AI25" s="271">
        <f t="shared" si="1"/>
        <v>36</v>
      </c>
      <c r="AJ25" s="271">
        <f t="shared" si="1"/>
        <v>37</v>
      </c>
      <c r="AK25" s="271">
        <f t="shared" si="1"/>
        <v>38</v>
      </c>
      <c r="AL25" s="271">
        <f t="shared" si="1"/>
        <v>39</v>
      </c>
      <c r="AM25" s="271">
        <f t="shared" si="1"/>
        <v>40</v>
      </c>
      <c r="AN25" s="271">
        <f t="shared" si="1"/>
        <v>41</v>
      </c>
      <c r="AO25" s="271">
        <f t="shared" si="1"/>
        <v>42</v>
      </c>
      <c r="AP25" s="271">
        <f t="shared" si="1"/>
        <v>43</v>
      </c>
      <c r="AQ25" s="271">
        <f t="shared" si="1"/>
        <v>44</v>
      </c>
      <c r="AR25" s="271">
        <f t="shared" si="1"/>
        <v>45</v>
      </c>
      <c r="AS25" s="271">
        <f t="shared" si="1"/>
        <v>46</v>
      </c>
      <c r="AT25" s="271">
        <f t="shared" si="1"/>
        <v>47</v>
      </c>
      <c r="AU25" s="271">
        <f t="shared" si="1"/>
        <v>48</v>
      </c>
      <c r="AV25" s="271">
        <f t="shared" si="1"/>
        <v>49</v>
      </c>
    </row>
    <row r="26" spans="1:48" s="270" customFormat="1" ht="270" x14ac:dyDescent="0.2">
      <c r="A26" s="272">
        <v>1</v>
      </c>
      <c r="B26" s="273" t="s">
        <v>545</v>
      </c>
      <c r="C26" s="273" t="s">
        <v>15</v>
      </c>
      <c r="D26" s="274">
        <f>'6.1. Паспорт сетевой график'!H53</f>
        <v>46022</v>
      </c>
      <c r="E26" s="275"/>
      <c r="F26" s="275"/>
      <c r="G26" s="275">
        <f>'6.2. Паспорт фин осв ввод'!C37</f>
        <v>0.65</v>
      </c>
      <c r="H26" s="275"/>
      <c r="I26" s="275">
        <f>'6.2. Паспорт фин осв ввод'!C39</f>
        <v>0.97199999999999998</v>
      </c>
      <c r="J26" s="275"/>
      <c r="K26" s="275"/>
      <c r="L26" s="275"/>
      <c r="M26" s="273" t="s">
        <v>546</v>
      </c>
      <c r="N26" s="276" t="s">
        <v>547</v>
      </c>
      <c r="O26" s="276" t="s">
        <v>545</v>
      </c>
      <c r="P26" s="277">
        <v>1082.5601300000001</v>
      </c>
      <c r="Q26" s="273" t="s">
        <v>548</v>
      </c>
      <c r="R26" s="277">
        <f>P26</f>
        <v>1082.5601300000001</v>
      </c>
      <c r="S26" s="273" t="s">
        <v>549</v>
      </c>
      <c r="T26" s="273" t="s">
        <v>550</v>
      </c>
      <c r="U26" s="272">
        <v>3</v>
      </c>
      <c r="V26" s="272">
        <v>3</v>
      </c>
      <c r="W26" s="276" t="s">
        <v>551</v>
      </c>
      <c r="X26" s="277">
        <v>1082.5601300000001</v>
      </c>
      <c r="Y26" s="273"/>
      <c r="Z26" s="274"/>
      <c r="AA26" s="277"/>
      <c r="AB26" s="277">
        <f>X26</f>
        <v>1082.5601300000001</v>
      </c>
      <c r="AC26" s="276" t="s">
        <v>551</v>
      </c>
      <c r="AD26" s="277">
        <f>'8. Общие сведения'!B67*1000</f>
        <v>328.31891000000002</v>
      </c>
      <c r="AE26" s="277"/>
      <c r="AF26" s="272"/>
      <c r="AG26" s="273"/>
      <c r="AH26" s="274"/>
      <c r="AI26" s="274"/>
      <c r="AJ26" s="274"/>
      <c r="AK26" s="274"/>
      <c r="AL26" s="273"/>
      <c r="AM26" s="273"/>
      <c r="AN26" s="274"/>
      <c r="AO26" s="273"/>
      <c r="AP26" s="274">
        <v>45477</v>
      </c>
      <c r="AQ26" s="274">
        <v>45477</v>
      </c>
      <c r="AR26" s="274">
        <v>45477</v>
      </c>
      <c r="AS26" s="274">
        <v>45477</v>
      </c>
      <c r="AT26" s="274">
        <v>45568</v>
      </c>
      <c r="AU26" s="273"/>
      <c r="AV26" s="273"/>
    </row>
    <row r="27" spans="1:48" s="270" customFormat="1" ht="22.5" x14ac:dyDescent="0.2">
      <c r="A27" s="272"/>
      <c r="B27" s="273"/>
      <c r="C27" s="273"/>
      <c r="D27" s="274"/>
      <c r="E27" s="275"/>
      <c r="F27" s="275"/>
      <c r="G27" s="275"/>
      <c r="H27" s="275"/>
      <c r="I27" s="275"/>
      <c r="J27" s="275"/>
      <c r="K27" s="275"/>
      <c r="L27" s="275"/>
      <c r="M27" s="273"/>
      <c r="N27" s="273"/>
      <c r="O27" s="273"/>
      <c r="P27" s="277"/>
      <c r="Q27" s="273"/>
      <c r="R27" s="277"/>
      <c r="S27" s="273"/>
      <c r="T27" s="273"/>
      <c r="U27" s="272"/>
      <c r="V27" s="272"/>
      <c r="W27" s="276" t="s">
        <v>552</v>
      </c>
      <c r="X27" s="277">
        <v>1266.6666700000001</v>
      </c>
      <c r="Y27" s="273"/>
      <c r="Z27" s="274"/>
      <c r="AA27" s="277"/>
      <c r="AB27" s="277"/>
      <c r="AC27" s="277"/>
      <c r="AD27" s="277"/>
      <c r="AE27" s="277"/>
      <c r="AF27" s="272"/>
      <c r="AG27" s="273"/>
      <c r="AH27" s="274"/>
      <c r="AI27" s="274"/>
      <c r="AJ27" s="274"/>
      <c r="AK27" s="274"/>
      <c r="AL27" s="273"/>
      <c r="AM27" s="273"/>
      <c r="AN27" s="274"/>
      <c r="AO27" s="273"/>
      <c r="AP27" s="274"/>
      <c r="AQ27" s="274"/>
      <c r="AR27" s="274"/>
      <c r="AS27" s="274"/>
      <c r="AT27" s="274"/>
      <c r="AU27" s="273"/>
      <c r="AV27" s="273"/>
    </row>
    <row r="28" spans="1:48" s="270" customFormat="1" ht="11.25" x14ac:dyDescent="0.2">
      <c r="A28" s="272"/>
      <c r="B28" s="273"/>
      <c r="C28" s="273"/>
      <c r="D28" s="274"/>
      <c r="E28" s="275"/>
      <c r="F28" s="275"/>
      <c r="G28" s="275"/>
      <c r="H28" s="275"/>
      <c r="I28" s="275"/>
      <c r="J28" s="275"/>
      <c r="K28" s="275"/>
      <c r="L28" s="275"/>
      <c r="M28" s="273"/>
      <c r="N28" s="273"/>
      <c r="O28" s="273"/>
      <c r="P28" s="277"/>
      <c r="Q28" s="273"/>
      <c r="R28" s="277"/>
      <c r="S28" s="273"/>
      <c r="T28" s="273"/>
      <c r="U28" s="272"/>
      <c r="V28" s="272"/>
      <c r="W28" s="276" t="s">
        <v>553</v>
      </c>
      <c r="X28" s="277">
        <v>1216.6666700000001</v>
      </c>
      <c r="Y28" s="273"/>
      <c r="Z28" s="274"/>
      <c r="AA28" s="277"/>
      <c r="AB28" s="277"/>
      <c r="AC28" s="277"/>
      <c r="AD28" s="277"/>
      <c r="AE28" s="277"/>
      <c r="AF28" s="272"/>
      <c r="AG28" s="273"/>
      <c r="AH28" s="274"/>
      <c r="AI28" s="274"/>
      <c r="AJ28" s="274"/>
      <c r="AK28" s="274"/>
      <c r="AL28" s="273"/>
      <c r="AM28" s="273"/>
      <c r="AN28" s="274"/>
      <c r="AO28" s="273"/>
      <c r="AP28" s="274"/>
      <c r="AQ28" s="274"/>
      <c r="AR28" s="274"/>
      <c r="AS28" s="274"/>
      <c r="AT28" s="274"/>
      <c r="AU28" s="273"/>
      <c r="AV28" s="273"/>
    </row>
    <row r="29" spans="1:48" s="270" customFormat="1" ht="90" x14ac:dyDescent="0.2">
      <c r="A29" s="272">
        <v>2</v>
      </c>
      <c r="B29" s="273" t="s">
        <v>545</v>
      </c>
      <c r="C29" s="273" t="s">
        <v>15</v>
      </c>
      <c r="D29" s="274">
        <f>D26</f>
        <v>46022</v>
      </c>
      <c r="E29" s="275"/>
      <c r="F29" s="275"/>
      <c r="G29" s="275">
        <f>G26</f>
        <v>0.65</v>
      </c>
      <c r="H29" s="275"/>
      <c r="I29" s="275">
        <f t="shared" ref="I29:K29" si="2">I26</f>
        <v>0.97199999999999998</v>
      </c>
      <c r="J29" s="275">
        <f t="shared" si="2"/>
        <v>0</v>
      </c>
      <c r="K29" s="275">
        <f t="shared" si="2"/>
        <v>0</v>
      </c>
      <c r="L29" s="275"/>
      <c r="M29" s="273" t="s">
        <v>614</v>
      </c>
      <c r="N29" s="276" t="s">
        <v>615</v>
      </c>
      <c r="O29" s="276" t="s">
        <v>545</v>
      </c>
      <c r="P29" s="277">
        <v>5689.3165300000001</v>
      </c>
      <c r="Q29" s="276" t="s">
        <v>616</v>
      </c>
      <c r="R29" s="277">
        <f>P29</f>
        <v>5689.3165300000001</v>
      </c>
      <c r="S29" s="273" t="s">
        <v>617</v>
      </c>
      <c r="T29" s="273" t="s">
        <v>617</v>
      </c>
      <c r="U29" s="272">
        <v>4</v>
      </c>
      <c r="V29" s="272">
        <v>4</v>
      </c>
      <c r="W29" s="276" t="s">
        <v>625</v>
      </c>
      <c r="X29" s="324">
        <v>3845.9764</v>
      </c>
      <c r="Y29" s="276"/>
      <c r="Z29" s="326">
        <v>1</v>
      </c>
      <c r="AA29" s="324">
        <v>3845.9764</v>
      </c>
      <c r="AB29" s="277">
        <f>AA29</f>
        <v>3845.9764</v>
      </c>
      <c r="AC29" s="276" t="s">
        <v>625</v>
      </c>
      <c r="AD29" s="277">
        <f>'8. Общие сведения'!B33*1000</f>
        <v>4615.1716800000004</v>
      </c>
      <c r="AE29" s="277"/>
      <c r="AF29" s="272">
        <v>32515088644</v>
      </c>
      <c r="AG29" s="276" t="s">
        <v>618</v>
      </c>
      <c r="AH29" s="274">
        <v>45869</v>
      </c>
      <c r="AI29" s="274">
        <v>45869</v>
      </c>
      <c r="AJ29" s="274">
        <v>45891</v>
      </c>
      <c r="AK29" s="274">
        <v>45896</v>
      </c>
      <c r="AL29" s="273"/>
      <c r="AM29" s="273"/>
      <c r="AN29" s="274"/>
      <c r="AO29" s="273"/>
      <c r="AP29" s="274">
        <v>45926</v>
      </c>
      <c r="AQ29" s="274">
        <v>45926</v>
      </c>
      <c r="AR29" s="274">
        <v>45926</v>
      </c>
      <c r="AS29" s="274">
        <v>45926</v>
      </c>
      <c r="AT29" s="274">
        <v>46016</v>
      </c>
      <c r="AU29" s="273"/>
      <c r="AV29" s="273"/>
    </row>
    <row r="30" spans="1:48" s="270" customFormat="1" ht="33.75" x14ac:dyDescent="0.2">
      <c r="A30" s="272"/>
      <c r="B30" s="273"/>
      <c r="C30" s="273"/>
      <c r="D30" s="274"/>
      <c r="E30" s="275"/>
      <c r="F30" s="275"/>
      <c r="G30" s="275"/>
      <c r="H30" s="275"/>
      <c r="I30" s="275"/>
      <c r="J30" s="275"/>
      <c r="K30" s="275"/>
      <c r="L30" s="275"/>
      <c r="M30" s="273"/>
      <c r="N30" s="273"/>
      <c r="O30" s="273"/>
      <c r="P30" s="277"/>
      <c r="Q30" s="273"/>
      <c r="R30" s="277"/>
      <c r="S30" s="273"/>
      <c r="T30" s="273"/>
      <c r="U30" s="272"/>
      <c r="V30" s="272"/>
      <c r="W30" s="276" t="s">
        <v>626</v>
      </c>
      <c r="X30" s="324">
        <v>5685.1498700000002</v>
      </c>
      <c r="Y30" s="276"/>
      <c r="Z30" s="322"/>
      <c r="AA30" s="324">
        <v>5685.1498700000002</v>
      </c>
      <c r="AB30" s="277"/>
      <c r="AC30" s="277"/>
      <c r="AD30" s="277"/>
      <c r="AE30" s="277"/>
      <c r="AF30" s="272"/>
      <c r="AG30" s="273"/>
      <c r="AH30" s="274"/>
      <c r="AI30" s="274"/>
      <c r="AJ30" s="274"/>
      <c r="AK30" s="274"/>
      <c r="AL30" s="273"/>
      <c r="AM30" s="273"/>
      <c r="AN30" s="274"/>
      <c r="AO30" s="273"/>
      <c r="AP30" s="274"/>
      <c r="AQ30" s="274"/>
      <c r="AR30" s="274"/>
      <c r="AS30" s="274"/>
      <c r="AT30" s="274"/>
      <c r="AU30" s="273"/>
      <c r="AV30" s="273"/>
    </row>
    <row r="31" spans="1:48" s="270" customFormat="1" ht="11.25" x14ac:dyDescent="0.2">
      <c r="A31" s="272"/>
      <c r="B31" s="273"/>
      <c r="C31" s="273"/>
      <c r="D31" s="274"/>
      <c r="E31" s="275"/>
      <c r="F31" s="275"/>
      <c r="G31" s="275"/>
      <c r="H31" s="275"/>
      <c r="I31" s="275"/>
      <c r="J31" s="275"/>
      <c r="K31" s="275"/>
      <c r="L31" s="275"/>
      <c r="M31" s="273"/>
      <c r="N31" s="273"/>
      <c r="O31" s="273"/>
      <c r="P31" s="277"/>
      <c r="Q31" s="273"/>
      <c r="R31" s="277"/>
      <c r="S31" s="273"/>
      <c r="T31" s="273"/>
      <c r="U31" s="272"/>
      <c r="V31" s="272"/>
      <c r="W31" s="276" t="s">
        <v>627</v>
      </c>
      <c r="X31" s="324">
        <v>4665.2395299999998</v>
      </c>
      <c r="Y31" s="276"/>
      <c r="Z31" s="322"/>
      <c r="AA31" s="324">
        <v>4665.2395299999998</v>
      </c>
      <c r="AB31" s="277"/>
      <c r="AC31" s="277"/>
      <c r="AD31" s="277"/>
      <c r="AE31" s="277"/>
      <c r="AF31" s="272"/>
      <c r="AG31" s="273"/>
      <c r="AH31" s="274"/>
      <c r="AI31" s="274"/>
      <c r="AJ31" s="274"/>
      <c r="AK31" s="274"/>
      <c r="AL31" s="273"/>
      <c r="AM31" s="273"/>
      <c r="AN31" s="274"/>
      <c r="AO31" s="273"/>
      <c r="AP31" s="274"/>
      <c r="AQ31" s="274"/>
      <c r="AR31" s="274"/>
      <c r="AS31" s="274"/>
      <c r="AT31" s="274"/>
      <c r="AU31" s="273"/>
      <c r="AV31" s="273"/>
    </row>
    <row r="32" spans="1:48" s="270" customFormat="1" ht="11.25" x14ac:dyDescent="0.2">
      <c r="A32" s="272"/>
      <c r="B32" s="273"/>
      <c r="C32" s="273"/>
      <c r="D32" s="274"/>
      <c r="E32" s="275"/>
      <c r="F32" s="275"/>
      <c r="G32" s="275"/>
      <c r="H32" s="275"/>
      <c r="I32" s="275"/>
      <c r="J32" s="275"/>
      <c r="K32" s="275"/>
      <c r="L32" s="275"/>
      <c r="M32" s="273"/>
      <c r="N32" s="273"/>
      <c r="O32" s="273"/>
      <c r="P32" s="277"/>
      <c r="Q32" s="273"/>
      <c r="R32" s="277"/>
      <c r="S32" s="273"/>
      <c r="T32" s="273"/>
      <c r="U32" s="272"/>
      <c r="V32" s="272"/>
      <c r="W32" s="276" t="s">
        <v>628</v>
      </c>
      <c r="X32" s="324">
        <v>3845.97721</v>
      </c>
      <c r="Y32" s="276"/>
      <c r="Z32" s="322"/>
      <c r="AA32" s="324">
        <v>3845.97721</v>
      </c>
      <c r="AB32" s="277"/>
      <c r="AC32" s="277"/>
      <c r="AD32" s="277"/>
      <c r="AE32" s="277"/>
      <c r="AF32" s="272"/>
      <c r="AG32" s="273"/>
      <c r="AH32" s="274"/>
      <c r="AI32" s="274"/>
      <c r="AJ32" s="274"/>
      <c r="AK32" s="274"/>
      <c r="AL32" s="273"/>
      <c r="AM32" s="273"/>
      <c r="AN32" s="274"/>
      <c r="AO32" s="273"/>
      <c r="AP32" s="274"/>
      <c r="AQ32" s="274"/>
      <c r="AR32" s="274"/>
      <c r="AS32" s="274"/>
      <c r="AT32" s="274"/>
      <c r="AU32" s="273"/>
      <c r="AV32" s="273"/>
    </row>
    <row r="33" spans="1:48" s="325" customFormat="1" ht="33.75" x14ac:dyDescent="0.2">
      <c r="A33" s="321">
        <v>3</v>
      </c>
      <c r="B33" s="276" t="s">
        <v>545</v>
      </c>
      <c r="C33" s="276" t="s">
        <v>18</v>
      </c>
      <c r="D33" s="322">
        <f>D29</f>
        <v>46022</v>
      </c>
      <c r="E33" s="323"/>
      <c r="F33" s="323"/>
      <c r="G33" s="323">
        <f>G29</f>
        <v>0.65</v>
      </c>
      <c r="H33" s="323"/>
      <c r="I33" s="323">
        <f>I29</f>
        <v>0.97199999999999998</v>
      </c>
      <c r="J33" s="323">
        <f>J29</f>
        <v>0</v>
      </c>
      <c r="K33" s="323">
        <f>K29</f>
        <v>0</v>
      </c>
      <c r="L33" s="323"/>
      <c r="M33" s="276" t="s">
        <v>619</v>
      </c>
      <c r="N33" s="276" t="s">
        <v>620</v>
      </c>
      <c r="O33" s="276" t="s">
        <v>545</v>
      </c>
      <c r="P33" s="324">
        <v>353322.5</v>
      </c>
      <c r="Q33" s="276" t="s">
        <v>616</v>
      </c>
      <c r="R33" s="324">
        <v>353322.5</v>
      </c>
      <c r="S33" s="276" t="s">
        <v>621</v>
      </c>
      <c r="T33" s="276" t="s">
        <v>622</v>
      </c>
      <c r="U33" s="321">
        <v>2</v>
      </c>
      <c r="V33" s="321">
        <v>2</v>
      </c>
      <c r="W33" s="276" t="s">
        <v>623</v>
      </c>
      <c r="X33" s="324">
        <v>353322.5</v>
      </c>
      <c r="Y33" s="276"/>
      <c r="Z33" s="322"/>
      <c r="AA33" s="324"/>
      <c r="AB33" s="324">
        <v>353322.5</v>
      </c>
      <c r="AC33" s="324" t="s">
        <v>623</v>
      </c>
      <c r="AD33" s="324">
        <f>'8. Общие сведения'!B50*1000</f>
        <v>10549.399199999998</v>
      </c>
      <c r="AE33" s="324"/>
      <c r="AF33" s="321">
        <v>32413758900</v>
      </c>
      <c r="AG33" s="276" t="s">
        <v>624</v>
      </c>
      <c r="AH33" s="322">
        <v>45473</v>
      </c>
      <c r="AI33" s="322">
        <v>45471</v>
      </c>
      <c r="AJ33" s="322">
        <v>45509</v>
      </c>
      <c r="AK33" s="322">
        <v>45540</v>
      </c>
      <c r="AL33" s="276"/>
      <c r="AM33" s="276"/>
      <c r="AN33" s="322"/>
      <c r="AO33" s="276"/>
      <c r="AP33" s="322">
        <v>45565</v>
      </c>
      <c r="AQ33" s="322">
        <v>45561</v>
      </c>
      <c r="AR33" s="322">
        <v>45565</v>
      </c>
      <c r="AS33" s="322">
        <v>45561</v>
      </c>
      <c r="AT33" s="322">
        <v>46022</v>
      </c>
      <c r="AU33" s="276"/>
      <c r="AV33" s="276"/>
    </row>
    <row r="34" spans="1:48" s="325" customFormat="1" ht="11.25" x14ac:dyDescent="0.2">
      <c r="A34" s="321"/>
      <c r="B34" s="276"/>
      <c r="C34" s="276"/>
      <c r="D34" s="322"/>
      <c r="E34" s="323"/>
      <c r="F34" s="323"/>
      <c r="G34" s="323"/>
      <c r="H34" s="323"/>
      <c r="I34" s="323"/>
      <c r="J34" s="323"/>
      <c r="K34" s="323"/>
      <c r="L34" s="323"/>
      <c r="M34" s="276"/>
      <c r="N34" s="276"/>
      <c r="O34" s="276"/>
      <c r="P34" s="324"/>
      <c r="Q34" s="276"/>
      <c r="R34" s="324"/>
      <c r="S34" s="276"/>
      <c r="T34" s="276"/>
      <c r="U34" s="321"/>
      <c r="V34" s="321"/>
      <c r="W34" s="276">
        <v>295010</v>
      </c>
      <c r="X34" s="324"/>
      <c r="Y34" s="276">
        <v>295010</v>
      </c>
      <c r="Z34" s="322"/>
      <c r="AA34" s="324"/>
      <c r="AB34" s="324"/>
      <c r="AC34" s="324"/>
      <c r="AD34" s="324"/>
      <c r="AE34" s="324"/>
      <c r="AF34" s="321"/>
      <c r="AG34" s="276"/>
      <c r="AH34" s="322"/>
      <c r="AI34" s="322"/>
      <c r="AJ34" s="322"/>
      <c r="AK34" s="322"/>
      <c r="AL34" s="276"/>
      <c r="AM34" s="276"/>
      <c r="AN34" s="322"/>
      <c r="AO34" s="276"/>
      <c r="AP34" s="322"/>
      <c r="AQ34" s="322"/>
      <c r="AR34" s="322"/>
      <c r="AS34" s="322"/>
      <c r="AT34" s="322"/>
      <c r="AU34" s="276"/>
      <c r="AV34" s="276"/>
    </row>
    <row r="35" spans="1:48" s="270" customFormat="1" ht="33.75" x14ac:dyDescent="0.2">
      <c r="A35" s="321">
        <v>3</v>
      </c>
      <c r="B35" s="276" t="s">
        <v>545</v>
      </c>
      <c r="C35" s="276" t="s">
        <v>18</v>
      </c>
      <c r="D35" s="322">
        <f>D33</f>
        <v>46022</v>
      </c>
      <c r="E35" s="323"/>
      <c r="F35" s="323"/>
      <c r="G35" s="323">
        <f>G33</f>
        <v>0.65</v>
      </c>
      <c r="H35" s="323"/>
      <c r="I35" s="323">
        <f t="shared" ref="I35:K35" si="3">I33</f>
        <v>0.97199999999999998</v>
      </c>
      <c r="J35" s="323">
        <f t="shared" si="3"/>
        <v>0</v>
      </c>
      <c r="K35" s="323">
        <f t="shared" si="3"/>
        <v>0</v>
      </c>
      <c r="L35" s="323"/>
      <c r="M35" s="273" t="s">
        <v>631</v>
      </c>
      <c r="N35" s="273" t="s">
        <v>632</v>
      </c>
      <c r="O35" s="276" t="s">
        <v>545</v>
      </c>
      <c r="P35" s="277">
        <v>416</v>
      </c>
      <c r="Q35" s="276" t="s">
        <v>616</v>
      </c>
      <c r="R35" s="277">
        <f>P35</f>
        <v>416</v>
      </c>
      <c r="S35" s="273" t="s">
        <v>633</v>
      </c>
      <c r="T35" s="273" t="s">
        <v>633</v>
      </c>
      <c r="U35" s="272">
        <v>1</v>
      </c>
      <c r="V35" s="272">
        <v>1</v>
      </c>
      <c r="W35" s="273" t="s">
        <v>634</v>
      </c>
      <c r="X35" s="277">
        <v>416</v>
      </c>
      <c r="Y35" s="273"/>
      <c r="Z35" s="274"/>
      <c r="AA35" s="277"/>
      <c r="AB35" s="277">
        <v>416</v>
      </c>
      <c r="AC35" s="277" t="s">
        <v>634</v>
      </c>
      <c r="AD35" s="277">
        <f>'8. Общие сведения'!B71*1000</f>
        <v>110</v>
      </c>
      <c r="AE35" s="277"/>
      <c r="AF35" s="272" t="s">
        <v>635</v>
      </c>
      <c r="AG35" s="276" t="s">
        <v>624</v>
      </c>
      <c r="AH35" s="274">
        <v>45335</v>
      </c>
      <c r="AI35" s="274">
        <v>45335</v>
      </c>
      <c r="AJ35" s="274">
        <v>45337</v>
      </c>
      <c r="AK35" s="274">
        <v>45341</v>
      </c>
      <c r="AL35" s="273"/>
      <c r="AM35" s="273"/>
      <c r="AN35" s="274"/>
      <c r="AO35" s="273"/>
      <c r="AP35" s="274">
        <v>45406</v>
      </c>
      <c r="AQ35" s="274">
        <v>45406</v>
      </c>
      <c r="AR35" s="274">
        <v>45406</v>
      </c>
      <c r="AS35" s="274">
        <v>45406</v>
      </c>
      <c r="AT35" s="274">
        <v>46387</v>
      </c>
      <c r="AU35" s="273"/>
      <c r="AV35" s="273" t="s">
        <v>636</v>
      </c>
    </row>
    <row r="36" spans="1:48" s="270" customFormat="1" ht="11.25" x14ac:dyDescent="0.2">
      <c r="A36" s="272"/>
      <c r="B36" s="273"/>
      <c r="C36" s="273"/>
      <c r="D36" s="274"/>
      <c r="E36" s="275"/>
      <c r="F36" s="275"/>
      <c r="G36" s="275"/>
      <c r="H36" s="275"/>
      <c r="I36" s="275"/>
      <c r="J36" s="275"/>
      <c r="K36" s="275"/>
      <c r="L36" s="275"/>
      <c r="M36" s="273"/>
      <c r="N36" s="273"/>
      <c r="O36" s="273"/>
      <c r="P36" s="277"/>
      <c r="Q36" s="273"/>
      <c r="R36" s="277"/>
      <c r="S36" s="273"/>
      <c r="T36" s="273"/>
      <c r="U36" s="272"/>
      <c r="V36" s="272"/>
      <c r="W36" s="273"/>
      <c r="X36" s="277"/>
      <c r="Y36" s="273"/>
      <c r="Z36" s="274"/>
      <c r="AA36" s="277"/>
      <c r="AB36" s="277"/>
      <c r="AC36" s="277"/>
      <c r="AD36" s="277"/>
      <c r="AE36" s="277"/>
      <c r="AF36" s="272"/>
      <c r="AG36" s="273"/>
      <c r="AH36" s="274"/>
      <c r="AI36" s="274"/>
      <c r="AJ36" s="274"/>
      <c r="AK36" s="274"/>
      <c r="AL36" s="273"/>
      <c r="AM36" s="273"/>
      <c r="AN36" s="274"/>
      <c r="AO36" s="273"/>
      <c r="AP36" s="274"/>
      <c r="AQ36" s="274"/>
      <c r="AR36" s="274"/>
      <c r="AS36" s="274"/>
      <c r="AT36" s="274"/>
      <c r="AU36" s="273"/>
      <c r="AV36" s="273"/>
    </row>
    <row r="37" spans="1:48" x14ac:dyDescent="0.25">
      <c r="AD37" s="278">
        <f>SUM(AD26:AD36)</f>
        <v>15602.889789999997</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80" workbookViewId="0">
      <selection activeCell="B28" sqref="B28"/>
    </sheetView>
  </sheetViews>
  <sheetFormatPr defaultRowHeight="15.75" x14ac:dyDescent="0.25"/>
  <cols>
    <col min="1" max="2" width="66.140625" style="279" customWidth="1"/>
    <col min="3" max="3" width="9.140625" style="220" hidden="1" customWidth="1"/>
    <col min="4" max="256" width="9.140625" style="220"/>
    <col min="257" max="258" width="66.140625" style="220" customWidth="1"/>
    <col min="259" max="512" width="9.140625" style="220"/>
    <col min="513" max="514" width="66.140625" style="220" customWidth="1"/>
    <col min="515" max="768" width="9.140625" style="220"/>
    <col min="769" max="770" width="66.140625" style="220" customWidth="1"/>
    <col min="771" max="1024" width="9.140625" style="220"/>
    <col min="1025" max="1026" width="66.140625" style="220" customWidth="1"/>
    <col min="1027" max="1280" width="9.140625" style="220"/>
    <col min="1281" max="1282" width="66.140625" style="220" customWidth="1"/>
    <col min="1283" max="1536" width="9.140625" style="220"/>
    <col min="1537" max="1538" width="66.140625" style="220" customWidth="1"/>
    <col min="1539" max="1792" width="9.140625" style="220"/>
    <col min="1793" max="1794" width="66.140625" style="220" customWidth="1"/>
    <col min="1795" max="2048" width="9.140625" style="220"/>
    <col min="2049" max="2050" width="66.140625" style="220" customWidth="1"/>
    <col min="2051" max="2304" width="9.140625" style="220"/>
    <col min="2305" max="2306" width="66.140625" style="220" customWidth="1"/>
    <col min="2307" max="2560" width="9.140625" style="220"/>
    <col min="2561" max="2562" width="66.140625" style="220" customWidth="1"/>
    <col min="2563" max="2816" width="9.140625" style="220"/>
    <col min="2817" max="2818" width="66.140625" style="220" customWidth="1"/>
    <col min="2819" max="3072" width="9.140625" style="220"/>
    <col min="3073" max="3074" width="66.140625" style="220" customWidth="1"/>
    <col min="3075" max="3328" width="9.140625" style="220"/>
    <col min="3329" max="3330" width="66.140625" style="220" customWidth="1"/>
    <col min="3331" max="3584" width="9.140625" style="220"/>
    <col min="3585" max="3586" width="66.140625" style="220" customWidth="1"/>
    <col min="3587" max="3840" width="9.140625" style="220"/>
    <col min="3841" max="3842" width="66.140625" style="220" customWidth="1"/>
    <col min="3843" max="4096" width="9.140625" style="220"/>
    <col min="4097" max="4098" width="66.140625" style="220" customWidth="1"/>
    <col min="4099" max="4352" width="9.140625" style="220"/>
    <col min="4353" max="4354" width="66.140625" style="220" customWidth="1"/>
    <col min="4355" max="4608" width="9.140625" style="220"/>
    <col min="4609" max="4610" width="66.140625" style="220" customWidth="1"/>
    <col min="4611" max="4864" width="9.140625" style="220"/>
    <col min="4865" max="4866" width="66.140625" style="220" customWidth="1"/>
    <col min="4867" max="5120" width="9.140625" style="220"/>
    <col min="5121" max="5122" width="66.140625" style="220" customWidth="1"/>
    <col min="5123" max="5376" width="9.140625" style="220"/>
    <col min="5377" max="5378" width="66.140625" style="220" customWidth="1"/>
    <col min="5379" max="5632" width="9.140625" style="220"/>
    <col min="5633" max="5634" width="66.140625" style="220" customWidth="1"/>
    <col min="5635" max="5888" width="9.140625" style="220"/>
    <col min="5889" max="5890" width="66.140625" style="220" customWidth="1"/>
    <col min="5891" max="6144" width="9.140625" style="220"/>
    <col min="6145" max="6146" width="66.140625" style="220" customWidth="1"/>
    <col min="6147" max="6400" width="9.140625" style="220"/>
    <col min="6401" max="6402" width="66.140625" style="220" customWidth="1"/>
    <col min="6403" max="6656" width="9.140625" style="220"/>
    <col min="6657" max="6658" width="66.140625" style="220" customWidth="1"/>
    <col min="6659" max="6912" width="9.140625" style="220"/>
    <col min="6913" max="6914" width="66.140625" style="220" customWidth="1"/>
    <col min="6915" max="7168" width="9.140625" style="220"/>
    <col min="7169" max="7170" width="66.140625" style="220" customWidth="1"/>
    <col min="7171" max="7424" width="9.140625" style="220"/>
    <col min="7425" max="7426" width="66.140625" style="220" customWidth="1"/>
    <col min="7427" max="7680" width="9.140625" style="220"/>
    <col min="7681" max="7682" width="66.140625" style="220" customWidth="1"/>
    <col min="7683" max="7936" width="9.140625" style="220"/>
    <col min="7937" max="7938" width="66.140625" style="220" customWidth="1"/>
    <col min="7939" max="8192" width="9.140625" style="220"/>
    <col min="8193" max="8194" width="66.140625" style="220" customWidth="1"/>
    <col min="8195" max="8448" width="9.140625" style="220"/>
    <col min="8449" max="8450" width="66.140625" style="220" customWidth="1"/>
    <col min="8451" max="8704" width="9.140625" style="220"/>
    <col min="8705" max="8706" width="66.140625" style="220" customWidth="1"/>
    <col min="8707" max="8960" width="9.140625" style="220"/>
    <col min="8961" max="8962" width="66.140625" style="220" customWidth="1"/>
    <col min="8963" max="9216" width="9.140625" style="220"/>
    <col min="9217" max="9218" width="66.140625" style="220" customWidth="1"/>
    <col min="9219" max="9472" width="9.140625" style="220"/>
    <col min="9473" max="9474" width="66.140625" style="220" customWidth="1"/>
    <col min="9475" max="9728" width="9.140625" style="220"/>
    <col min="9729" max="9730" width="66.140625" style="220" customWidth="1"/>
    <col min="9731" max="9984" width="9.140625" style="220"/>
    <col min="9985" max="9986" width="66.140625" style="220" customWidth="1"/>
    <col min="9987" max="10240" width="9.140625" style="220"/>
    <col min="10241" max="10242" width="66.140625" style="220" customWidth="1"/>
    <col min="10243" max="10496" width="9.140625" style="220"/>
    <col min="10497" max="10498" width="66.140625" style="220" customWidth="1"/>
    <col min="10499" max="10752" width="9.140625" style="220"/>
    <col min="10753" max="10754" width="66.140625" style="220" customWidth="1"/>
    <col min="10755" max="11008" width="9.140625" style="220"/>
    <col min="11009" max="11010" width="66.140625" style="220" customWidth="1"/>
    <col min="11011" max="11264" width="9.140625" style="220"/>
    <col min="11265" max="11266" width="66.140625" style="220" customWidth="1"/>
    <col min="11267" max="11520" width="9.140625" style="220"/>
    <col min="11521" max="11522" width="66.140625" style="220" customWidth="1"/>
    <col min="11523" max="11776" width="9.140625" style="220"/>
    <col min="11777" max="11778" width="66.140625" style="220" customWidth="1"/>
    <col min="11779" max="12032" width="9.140625" style="220"/>
    <col min="12033" max="12034" width="66.140625" style="220" customWidth="1"/>
    <col min="12035" max="12288" width="9.140625" style="220"/>
    <col min="12289" max="12290" width="66.140625" style="220" customWidth="1"/>
    <col min="12291" max="12544" width="9.140625" style="220"/>
    <col min="12545" max="12546" width="66.140625" style="220" customWidth="1"/>
    <col min="12547" max="12800" width="9.140625" style="220"/>
    <col min="12801" max="12802" width="66.140625" style="220" customWidth="1"/>
    <col min="12803" max="13056" width="9.140625" style="220"/>
    <col min="13057" max="13058" width="66.140625" style="220" customWidth="1"/>
    <col min="13059" max="13312" width="9.140625" style="220"/>
    <col min="13313" max="13314" width="66.140625" style="220" customWidth="1"/>
    <col min="13315" max="13568" width="9.140625" style="220"/>
    <col min="13569" max="13570" width="66.140625" style="220" customWidth="1"/>
    <col min="13571" max="13824" width="9.140625" style="220"/>
    <col min="13825" max="13826" width="66.140625" style="220" customWidth="1"/>
    <col min="13827" max="14080" width="9.140625" style="220"/>
    <col min="14081" max="14082" width="66.140625" style="220" customWidth="1"/>
    <col min="14083" max="14336" width="9.140625" style="220"/>
    <col min="14337" max="14338" width="66.140625" style="220" customWidth="1"/>
    <col min="14339" max="14592" width="9.140625" style="220"/>
    <col min="14593" max="14594" width="66.140625" style="220" customWidth="1"/>
    <col min="14595" max="14848" width="9.140625" style="220"/>
    <col min="14849" max="14850" width="66.140625" style="220" customWidth="1"/>
    <col min="14851" max="15104" width="9.140625" style="220"/>
    <col min="15105" max="15106" width="66.140625" style="220" customWidth="1"/>
    <col min="15107" max="15360" width="9.140625" style="220"/>
    <col min="15361" max="15362" width="66.140625" style="220" customWidth="1"/>
    <col min="15363" max="15616" width="9.140625" style="220"/>
    <col min="15617" max="15618" width="66.140625" style="220" customWidth="1"/>
    <col min="15619" max="15872" width="9.140625" style="220"/>
    <col min="15873" max="15874" width="66.140625" style="220" customWidth="1"/>
    <col min="15875" max="16128" width="9.140625" style="220"/>
    <col min="16129" max="16130" width="66.140625" style="220" customWidth="1"/>
    <col min="16131" max="16384" width="9.140625" style="220"/>
  </cols>
  <sheetData>
    <row r="1" spans="1:8" ht="18.75" x14ac:dyDescent="0.25">
      <c r="B1" s="4" t="s">
        <v>0</v>
      </c>
    </row>
    <row r="2" spans="1:8" ht="18.75" x14ac:dyDescent="0.3">
      <c r="B2" s="5" t="s">
        <v>1</v>
      </c>
    </row>
    <row r="3" spans="1:8" ht="18.75" x14ac:dyDescent="0.3">
      <c r="B3" s="5" t="s">
        <v>2</v>
      </c>
    </row>
    <row r="4" spans="1:8" x14ac:dyDescent="0.25">
      <c r="B4" s="222"/>
    </row>
    <row r="5" spans="1:8" ht="18.75" x14ac:dyDescent="0.3">
      <c r="A5" s="444" t="str">
        <f>'1. паспорт местоположение'!A5:C5</f>
        <v>Год раскрытия информации: 2025 год</v>
      </c>
      <c r="B5" s="444"/>
      <c r="C5" s="281"/>
      <c r="D5" s="281"/>
      <c r="E5" s="281"/>
      <c r="F5" s="281"/>
      <c r="G5" s="281"/>
      <c r="H5" s="281"/>
    </row>
    <row r="6" spans="1:8" ht="18.75" x14ac:dyDescent="0.3">
      <c r="A6" s="280"/>
      <c r="B6" s="280"/>
      <c r="C6" s="280"/>
      <c r="D6" s="280"/>
      <c r="E6" s="280"/>
      <c r="F6" s="280"/>
      <c r="G6" s="280"/>
      <c r="H6" s="280"/>
    </row>
    <row r="7" spans="1:8" ht="18.75" x14ac:dyDescent="0.25">
      <c r="A7" s="335" t="s">
        <v>4</v>
      </c>
      <c r="B7" s="335"/>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"Россети Янтарь" ДЗО  ПАО "Россети"</v>
      </c>
      <c r="B9" s="345"/>
      <c r="C9" s="11"/>
      <c r="D9" s="11"/>
      <c r="E9" s="11"/>
      <c r="F9" s="11"/>
      <c r="G9" s="11"/>
      <c r="H9" s="11"/>
    </row>
    <row r="10" spans="1:8" x14ac:dyDescent="0.25">
      <c r="A10" s="337" t="s">
        <v>6</v>
      </c>
      <c r="B10" s="337"/>
      <c r="C10" s="12"/>
      <c r="D10" s="12"/>
      <c r="E10" s="12"/>
      <c r="F10" s="12"/>
      <c r="G10" s="12"/>
      <c r="H10" s="12"/>
    </row>
    <row r="11" spans="1:8" ht="18.75" x14ac:dyDescent="0.25">
      <c r="A11" s="10"/>
      <c r="B11" s="10"/>
      <c r="C11" s="10"/>
      <c r="D11" s="10"/>
      <c r="E11" s="10"/>
      <c r="F11" s="10"/>
      <c r="G11" s="10"/>
      <c r="H11" s="10"/>
    </row>
    <row r="12" spans="1:8" x14ac:dyDescent="0.25">
      <c r="A12" s="345" t="str">
        <f>'1. паспорт местоположение'!A12:C12</f>
        <v>N_22-1313</v>
      </c>
      <c r="B12" s="345"/>
      <c r="C12" s="11"/>
      <c r="D12" s="11"/>
      <c r="E12" s="11"/>
      <c r="F12" s="11"/>
      <c r="G12" s="11"/>
      <c r="H12" s="11"/>
    </row>
    <row r="13" spans="1:8" x14ac:dyDescent="0.25">
      <c r="A13" s="337" t="s">
        <v>8</v>
      </c>
      <c r="B13" s="337"/>
      <c r="C13" s="12"/>
      <c r="D13" s="12"/>
      <c r="E13" s="12"/>
      <c r="F13" s="12"/>
      <c r="G13" s="12"/>
      <c r="H13" s="12"/>
    </row>
    <row r="14" spans="1:8" ht="18.75" x14ac:dyDescent="0.25">
      <c r="A14" s="241"/>
      <c r="B14" s="241"/>
      <c r="C14" s="241"/>
      <c r="D14" s="241"/>
      <c r="E14" s="241"/>
      <c r="F14" s="241"/>
      <c r="G14" s="241"/>
      <c r="H14" s="241"/>
    </row>
    <row r="15" spans="1:8" ht="64.150000000000006" customHeight="1" x14ac:dyDescent="0.25">
      <c r="A15" s="445" t="str">
        <f>'1. паспорт местоположение'!A15:C15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445"/>
      <c r="C15" s="11"/>
      <c r="D15" s="11"/>
      <c r="E15" s="11"/>
      <c r="F15" s="11"/>
      <c r="G15" s="11"/>
      <c r="H15" s="11"/>
    </row>
    <row r="16" spans="1:8" x14ac:dyDescent="0.25">
      <c r="A16" s="337" t="s">
        <v>10</v>
      </c>
      <c r="B16" s="337"/>
      <c r="C16" s="12"/>
      <c r="D16" s="12"/>
      <c r="E16" s="12"/>
      <c r="F16" s="12"/>
      <c r="G16" s="12"/>
      <c r="H16" s="12"/>
    </row>
    <row r="17" spans="1:2" x14ac:dyDescent="0.25">
      <c r="B17" s="282"/>
    </row>
    <row r="18" spans="1:2" x14ac:dyDescent="0.25">
      <c r="A18" s="446" t="s">
        <v>554</v>
      </c>
      <c r="B18" s="447"/>
    </row>
    <row r="19" spans="1:2" x14ac:dyDescent="0.25">
      <c r="B19" s="222"/>
    </row>
    <row r="20" spans="1:2" x14ac:dyDescent="0.25">
      <c r="B20" s="283"/>
    </row>
    <row r="21" spans="1:2" ht="126" x14ac:dyDescent="0.25">
      <c r="A21" s="284" t="s">
        <v>555</v>
      </c>
      <c r="B21" s="285" t="str">
        <f>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row>
    <row r="22" spans="1:2" x14ac:dyDescent="0.25">
      <c r="A22" s="286" t="s">
        <v>556</v>
      </c>
      <c r="B22" s="287" t="str">
        <f>CONCATENATE('1. паспорт местоположение'!C26,", ",'1. паспорт местоположение'!C27)</f>
        <v>Калининградская область, Гурьевский городской округ</v>
      </c>
    </row>
    <row r="23" spans="1:2" x14ac:dyDescent="0.25">
      <c r="A23" s="286" t="s">
        <v>557</v>
      </c>
      <c r="B23" s="288" t="s">
        <v>558</v>
      </c>
    </row>
    <row r="24" spans="1:2" x14ac:dyDescent="0.25">
      <c r="A24" s="286" t="s">
        <v>559</v>
      </c>
      <c r="B24" s="288" t="str">
        <f>CONCATENATE('3.1. паспорт Техсостояние ПС'!O27," (",'3.1. паспорт Техсостояние ПС'!P27,") мВА, ",'3.2 паспорт Техсостояние ЛЭП'!R32," (",'3.2 паспорт Техсостояние ЛЭП'!S32,") км")</f>
        <v>0,65 (0,55) мВА, 0,972 (0,882) км</v>
      </c>
    </row>
    <row r="25" spans="1:2" x14ac:dyDescent="0.25">
      <c r="A25" s="289" t="s">
        <v>560</v>
      </c>
      <c r="B25" s="287">
        <v>2025</v>
      </c>
    </row>
    <row r="26" spans="1:2" x14ac:dyDescent="0.25">
      <c r="A26" s="290" t="s">
        <v>561</v>
      </c>
      <c r="B26" s="291" t="s">
        <v>189</v>
      </c>
    </row>
    <row r="27" spans="1:2" ht="28.5" x14ac:dyDescent="0.25">
      <c r="A27" s="292" t="s">
        <v>562</v>
      </c>
      <c r="B27" s="293">
        <f>'6.2. Паспорт фин осв ввод'!C24</f>
        <v>16.044621979999999</v>
      </c>
    </row>
    <row r="28" spans="1:2" x14ac:dyDescent="0.25">
      <c r="A28" s="294" t="s">
        <v>563</v>
      </c>
      <c r="B28" s="294" t="s">
        <v>564</v>
      </c>
    </row>
    <row r="29" spans="1:2" ht="28.5" x14ac:dyDescent="0.25">
      <c r="A29" s="295" t="s">
        <v>565</v>
      </c>
      <c r="B29" s="296">
        <f>'7. Паспорт отчет о закупке'!AD37/1000</f>
        <v>15.602889789999997</v>
      </c>
    </row>
    <row r="30" spans="1:2" ht="28.5" x14ac:dyDescent="0.25">
      <c r="A30" s="295" t="s">
        <v>566</v>
      </c>
      <c r="B30" s="296">
        <f>B32+B49+B66</f>
        <v>15.615338549999999</v>
      </c>
    </row>
    <row r="31" spans="1:2" x14ac:dyDescent="0.25">
      <c r="A31" s="294" t="s">
        <v>567</v>
      </c>
      <c r="B31" s="297"/>
    </row>
    <row r="32" spans="1:2" ht="28.5" x14ac:dyDescent="0.25">
      <c r="A32" s="295" t="s">
        <v>568</v>
      </c>
      <c r="B32" s="296">
        <f>SUMIF(C33:C48,10,B33:B48)</f>
        <v>4.6151716800000004</v>
      </c>
    </row>
    <row r="33" spans="1:4" s="298" customFormat="1" ht="30" x14ac:dyDescent="0.25">
      <c r="A33" s="302" t="s">
        <v>610</v>
      </c>
      <c r="B33" s="303">
        <v>4.6151716800000004</v>
      </c>
      <c r="C33" s="220">
        <v>10</v>
      </c>
      <c r="D33" s="220"/>
    </row>
    <row r="34" spans="1:4" x14ac:dyDescent="0.25">
      <c r="A34" s="294" t="s">
        <v>570</v>
      </c>
      <c r="B34" s="301">
        <f>B33/$B$27</f>
        <v>0.28764602156117614</v>
      </c>
    </row>
    <row r="35" spans="1:4" x14ac:dyDescent="0.25">
      <c r="A35" s="294" t="s">
        <v>571</v>
      </c>
      <c r="B35" s="296"/>
      <c r="C35" s="220">
        <v>1</v>
      </c>
    </row>
    <row r="36" spans="1:4" x14ac:dyDescent="0.25">
      <c r="A36" s="294" t="s">
        <v>572</v>
      </c>
      <c r="B36" s="296"/>
      <c r="C36" s="220">
        <v>2</v>
      </c>
    </row>
    <row r="37" spans="1:4" s="298" customFormat="1" x14ac:dyDescent="0.25">
      <c r="A37" s="299" t="s">
        <v>569</v>
      </c>
      <c r="B37" s="300"/>
      <c r="C37" s="220">
        <v>10</v>
      </c>
      <c r="D37" s="220"/>
    </row>
    <row r="38" spans="1:4" x14ac:dyDescent="0.25">
      <c r="A38" s="294" t="s">
        <v>570</v>
      </c>
      <c r="B38" s="301">
        <f t="shared" ref="B38:B46" si="0">B37/$B$27</f>
        <v>0</v>
      </c>
    </row>
    <row r="39" spans="1:4" x14ac:dyDescent="0.25">
      <c r="A39" s="294" t="s">
        <v>571</v>
      </c>
      <c r="B39" s="296"/>
      <c r="C39" s="220">
        <v>1</v>
      </c>
    </row>
    <row r="40" spans="1:4" x14ac:dyDescent="0.25">
      <c r="A40" s="294" t="s">
        <v>572</v>
      </c>
      <c r="B40" s="296"/>
      <c r="C40" s="220">
        <v>2</v>
      </c>
    </row>
    <row r="41" spans="1:4" x14ac:dyDescent="0.25">
      <c r="A41" s="299" t="s">
        <v>569</v>
      </c>
      <c r="B41" s="300"/>
      <c r="C41" s="220">
        <v>10</v>
      </c>
    </row>
    <row r="42" spans="1:4" s="298" customFormat="1" x14ac:dyDescent="0.25">
      <c r="A42" s="294" t="s">
        <v>570</v>
      </c>
      <c r="B42" s="301">
        <f t="shared" si="0"/>
        <v>0</v>
      </c>
      <c r="C42" s="220"/>
      <c r="D42" s="220"/>
    </row>
    <row r="43" spans="1:4" x14ac:dyDescent="0.25">
      <c r="A43" s="294" t="s">
        <v>571</v>
      </c>
      <c r="B43" s="296"/>
      <c r="C43" s="220">
        <v>1</v>
      </c>
    </row>
    <row r="44" spans="1:4" x14ac:dyDescent="0.25">
      <c r="A44" s="294" t="s">
        <v>572</v>
      </c>
      <c r="B44" s="296"/>
      <c r="C44" s="220">
        <v>2</v>
      </c>
    </row>
    <row r="45" spans="1:4" x14ac:dyDescent="0.25">
      <c r="A45" s="299" t="s">
        <v>569</v>
      </c>
      <c r="B45" s="300"/>
      <c r="C45" s="220">
        <v>10</v>
      </c>
    </row>
    <row r="46" spans="1:4" s="298" customFormat="1" x14ac:dyDescent="0.25">
      <c r="A46" s="294" t="s">
        <v>570</v>
      </c>
      <c r="B46" s="301">
        <f t="shared" si="0"/>
        <v>0</v>
      </c>
      <c r="C46" s="220"/>
      <c r="D46" s="220"/>
    </row>
    <row r="47" spans="1:4" x14ac:dyDescent="0.25">
      <c r="A47" s="294" t="s">
        <v>571</v>
      </c>
      <c r="B47" s="296"/>
      <c r="C47" s="220">
        <v>1</v>
      </c>
    </row>
    <row r="48" spans="1:4" x14ac:dyDescent="0.25">
      <c r="A48" s="294" t="s">
        <v>572</v>
      </c>
      <c r="B48" s="296"/>
      <c r="C48" s="220">
        <v>2</v>
      </c>
    </row>
    <row r="49" spans="1:4" ht="28.5" x14ac:dyDescent="0.25">
      <c r="A49" s="295" t="s">
        <v>573</v>
      </c>
      <c r="B49" s="296">
        <f>SUMIF(C50:C65,20,B50:B65)</f>
        <v>10.549399199999998</v>
      </c>
    </row>
    <row r="50" spans="1:4" s="298" customFormat="1" ht="30" x14ac:dyDescent="0.25">
      <c r="A50" s="302" t="s">
        <v>611</v>
      </c>
      <c r="B50" s="303">
        <v>10.549399199999998</v>
      </c>
      <c r="C50" s="220">
        <v>20</v>
      </c>
      <c r="D50" s="220"/>
    </row>
    <row r="51" spans="1:4" x14ac:dyDescent="0.25">
      <c r="A51" s="294" t="s">
        <v>570</v>
      </c>
      <c r="B51" s="301">
        <f>B50/$B$27</f>
        <v>0.65750375503705072</v>
      </c>
    </row>
    <row r="52" spans="1:4" x14ac:dyDescent="0.25">
      <c r="A52" s="294" t="s">
        <v>571</v>
      </c>
      <c r="B52" s="296"/>
      <c r="C52" s="220">
        <v>1</v>
      </c>
    </row>
    <row r="53" spans="1:4" x14ac:dyDescent="0.25">
      <c r="A53" s="294" t="s">
        <v>572</v>
      </c>
      <c r="B53" s="296"/>
      <c r="C53" s="220">
        <v>2</v>
      </c>
    </row>
    <row r="54" spans="1:4" s="298" customFormat="1" x14ac:dyDescent="0.25">
      <c r="A54" s="299" t="s">
        <v>569</v>
      </c>
      <c r="B54" s="300"/>
      <c r="C54" s="220">
        <v>20</v>
      </c>
      <c r="D54" s="220"/>
    </row>
    <row r="55" spans="1:4" x14ac:dyDescent="0.25">
      <c r="A55" s="294" t="s">
        <v>570</v>
      </c>
      <c r="B55" s="301">
        <f t="shared" ref="B55:B63" si="1">B54/$B$27</f>
        <v>0</v>
      </c>
    </row>
    <row r="56" spans="1:4" x14ac:dyDescent="0.25">
      <c r="A56" s="294" t="s">
        <v>571</v>
      </c>
      <c r="B56" s="296"/>
      <c r="C56" s="220">
        <v>1</v>
      </c>
    </row>
    <row r="57" spans="1:4" x14ac:dyDescent="0.25">
      <c r="A57" s="294" t="s">
        <v>572</v>
      </c>
      <c r="B57" s="296"/>
      <c r="C57" s="220">
        <v>2</v>
      </c>
    </row>
    <row r="58" spans="1:4" x14ac:dyDescent="0.25">
      <c r="A58" s="299" t="s">
        <v>569</v>
      </c>
      <c r="B58" s="300"/>
      <c r="C58" s="220">
        <v>20</v>
      </c>
    </row>
    <row r="59" spans="1:4" s="298" customFormat="1" x14ac:dyDescent="0.25">
      <c r="A59" s="294" t="s">
        <v>570</v>
      </c>
      <c r="B59" s="301">
        <f t="shared" si="1"/>
        <v>0</v>
      </c>
      <c r="C59" s="220"/>
      <c r="D59" s="220"/>
    </row>
    <row r="60" spans="1:4" x14ac:dyDescent="0.25">
      <c r="A60" s="294" t="s">
        <v>571</v>
      </c>
      <c r="B60" s="296"/>
      <c r="C60" s="220">
        <v>1</v>
      </c>
    </row>
    <row r="61" spans="1:4" x14ac:dyDescent="0.25">
      <c r="A61" s="294" t="s">
        <v>572</v>
      </c>
      <c r="B61" s="296"/>
      <c r="C61" s="220">
        <v>2</v>
      </c>
    </row>
    <row r="62" spans="1:4" x14ac:dyDescent="0.25">
      <c r="A62" s="299" t="s">
        <v>569</v>
      </c>
      <c r="B62" s="300"/>
      <c r="C62" s="220">
        <v>20</v>
      </c>
    </row>
    <row r="63" spans="1:4" s="298" customFormat="1" x14ac:dyDescent="0.25">
      <c r="A63" s="294" t="s">
        <v>570</v>
      </c>
      <c r="B63" s="301">
        <f t="shared" si="1"/>
        <v>0</v>
      </c>
      <c r="C63" s="220"/>
      <c r="D63" s="220"/>
    </row>
    <row r="64" spans="1:4" x14ac:dyDescent="0.25">
      <c r="A64" s="294" t="s">
        <v>571</v>
      </c>
      <c r="B64" s="296"/>
      <c r="C64" s="220">
        <v>1</v>
      </c>
    </row>
    <row r="65" spans="1:4" x14ac:dyDescent="0.25">
      <c r="A65" s="294" t="s">
        <v>572</v>
      </c>
      <c r="B65" s="296"/>
      <c r="C65" s="220">
        <v>2</v>
      </c>
    </row>
    <row r="66" spans="1:4" ht="28.5" x14ac:dyDescent="0.25">
      <c r="A66" s="295" t="s">
        <v>574</v>
      </c>
      <c r="B66" s="296">
        <f>SUMIF(C67:C82,30,B67:B82)</f>
        <v>0.45076767000000001</v>
      </c>
    </row>
    <row r="67" spans="1:4" s="298" customFormat="1" ht="30" x14ac:dyDescent="0.25">
      <c r="A67" s="302" t="s">
        <v>575</v>
      </c>
      <c r="B67" s="303">
        <v>0.32831891000000002</v>
      </c>
      <c r="C67" s="220">
        <v>30</v>
      </c>
      <c r="D67" s="220"/>
    </row>
    <row r="68" spans="1:4" x14ac:dyDescent="0.25">
      <c r="A68" s="294" t="s">
        <v>570</v>
      </c>
      <c r="B68" s="301">
        <f t="shared" ref="B68:B80" si="2">B67/$B$27</f>
        <v>2.0462863532045648E-2</v>
      </c>
    </row>
    <row r="69" spans="1:4" x14ac:dyDescent="0.25">
      <c r="A69" s="294" t="s">
        <v>571</v>
      </c>
      <c r="B69" s="296">
        <v>0.32831891000000002</v>
      </c>
      <c r="C69" s="220">
        <v>1</v>
      </c>
    </row>
    <row r="70" spans="1:4" x14ac:dyDescent="0.25">
      <c r="A70" s="294" t="s">
        <v>572</v>
      </c>
      <c r="B70" s="296">
        <v>0.32831891000000002</v>
      </c>
      <c r="C70" s="220">
        <v>2</v>
      </c>
    </row>
    <row r="71" spans="1:4" s="298" customFormat="1" ht="30" x14ac:dyDescent="0.25">
      <c r="A71" s="327" t="s">
        <v>629</v>
      </c>
      <c r="B71" s="328">
        <v>0.11</v>
      </c>
      <c r="C71" s="220">
        <v>30</v>
      </c>
      <c r="D71" s="220"/>
    </row>
    <row r="72" spans="1:4" x14ac:dyDescent="0.25">
      <c r="A72" s="294" t="s">
        <v>570</v>
      </c>
      <c r="B72" s="301">
        <f t="shared" si="2"/>
        <v>6.8558798167459231E-3</v>
      </c>
    </row>
    <row r="73" spans="1:4" x14ac:dyDescent="0.25">
      <c r="A73" s="294" t="s">
        <v>571</v>
      </c>
      <c r="B73" s="296"/>
      <c r="C73" s="220">
        <v>1</v>
      </c>
    </row>
    <row r="74" spans="1:4" ht="16.5" thickBot="1" x14ac:dyDescent="0.3">
      <c r="A74" s="294" t="s">
        <v>572</v>
      </c>
      <c r="B74" s="296">
        <v>0.11</v>
      </c>
      <c r="C74" s="220">
        <v>2</v>
      </c>
    </row>
    <row r="75" spans="1:4" ht="30.75" thickBot="1" x14ac:dyDescent="0.3">
      <c r="A75" s="329" t="s">
        <v>630</v>
      </c>
      <c r="B75" s="330">
        <v>1.244876E-2</v>
      </c>
      <c r="C75" s="220">
        <v>30</v>
      </c>
    </row>
    <row r="76" spans="1:4" ht="16.5" thickBot="1" x14ac:dyDescent="0.3">
      <c r="A76" s="331" t="s">
        <v>570</v>
      </c>
      <c r="B76" s="332">
        <f t="shared" ref="B76" si="3">B75/$B$25</f>
        <v>6.147535802469136E-6</v>
      </c>
    </row>
    <row r="77" spans="1:4" ht="16.5" thickBot="1" x14ac:dyDescent="0.3">
      <c r="A77" s="331" t="s">
        <v>571</v>
      </c>
      <c r="B77" s="333">
        <f>B75</f>
        <v>1.244876E-2</v>
      </c>
      <c r="C77" s="220">
        <v>1</v>
      </c>
    </row>
    <row r="78" spans="1:4" ht="16.5" thickBot="1" x14ac:dyDescent="0.3">
      <c r="A78" s="331" t="s">
        <v>572</v>
      </c>
      <c r="B78" s="333">
        <f>B75</f>
        <v>1.244876E-2</v>
      </c>
      <c r="C78" s="220">
        <v>2</v>
      </c>
    </row>
    <row r="79" spans="1:4" ht="16.5" thickBot="1" x14ac:dyDescent="0.3">
      <c r="A79" s="299" t="s">
        <v>569</v>
      </c>
      <c r="B79" s="300"/>
      <c r="C79" s="220">
        <v>30</v>
      </c>
    </row>
    <row r="80" spans="1:4" x14ac:dyDescent="0.25">
      <c r="A80" s="294" t="s">
        <v>570</v>
      </c>
      <c r="B80" s="301">
        <f t="shared" si="2"/>
        <v>0</v>
      </c>
    </row>
    <row r="81" spans="1:3" x14ac:dyDescent="0.25">
      <c r="A81" s="294" t="s">
        <v>571</v>
      </c>
      <c r="B81" s="296"/>
      <c r="C81" s="220">
        <v>1</v>
      </c>
    </row>
    <row r="82" spans="1:3" x14ac:dyDescent="0.25">
      <c r="A82" s="294" t="s">
        <v>572</v>
      </c>
      <c r="B82" s="296"/>
      <c r="C82" s="220">
        <v>2</v>
      </c>
    </row>
    <row r="83" spans="1:3" ht="28.5" x14ac:dyDescent="0.25">
      <c r="A83" s="304" t="s">
        <v>576</v>
      </c>
      <c r="B83" s="301">
        <f>B30/B27</f>
        <v>0.97324440360545039</v>
      </c>
    </row>
    <row r="84" spans="1:3" ht="15.6" customHeight="1" x14ac:dyDescent="0.25">
      <c r="A84" s="305" t="s">
        <v>567</v>
      </c>
      <c r="B84" s="301"/>
    </row>
    <row r="85" spans="1:3" x14ac:dyDescent="0.25">
      <c r="A85" s="305" t="s">
        <v>577</v>
      </c>
      <c r="B85" s="301"/>
    </row>
    <row r="86" spans="1:3" x14ac:dyDescent="0.25">
      <c r="A86" s="305" t="s">
        <v>578</v>
      </c>
      <c r="B86" s="301"/>
    </row>
    <row r="87" spans="1:3" x14ac:dyDescent="0.25">
      <c r="A87" s="305" t="s">
        <v>579</v>
      </c>
      <c r="B87" s="301">
        <f>B68</f>
        <v>2.0462863532045648E-2</v>
      </c>
    </row>
    <row r="88" spans="1:3" x14ac:dyDescent="0.25">
      <c r="A88" s="289" t="s">
        <v>580</v>
      </c>
      <c r="B88" s="306">
        <f>B89/$B$27</f>
        <v>2.1238747190477594E-2</v>
      </c>
    </row>
    <row r="89" spans="1:3" x14ac:dyDescent="0.25">
      <c r="A89" s="289" t="s">
        <v>581</v>
      </c>
      <c r="B89" s="307">
        <f>SUMIF(C33:C82, 1,B33:B82)</f>
        <v>0.34076767000000002</v>
      </c>
      <c r="C89" s="308">
        <f>'6.2. Паспорт фин осв ввод'!D24-'6.2. Паспорт фин осв ввод'!F24</f>
        <v>-16.044621979999999</v>
      </c>
    </row>
    <row r="90" spans="1:3" x14ac:dyDescent="0.25">
      <c r="A90" s="289" t="s">
        <v>582</v>
      </c>
      <c r="B90" s="306">
        <f>B91/$B$27</f>
        <v>2.8094627007223517E-2</v>
      </c>
      <c r="C90" s="308"/>
    </row>
    <row r="91" spans="1:3" x14ac:dyDescent="0.25">
      <c r="A91" s="290" t="s">
        <v>583</v>
      </c>
      <c r="B91" s="307">
        <f>SUMIF(C33:C82, 2,B33:B82)</f>
        <v>0.45076767000000001</v>
      </c>
      <c r="C91" s="308">
        <f>'6.2. Паспорт фин осв ввод'!D30-'6.2. Паспорт фин осв ввод'!F30</f>
        <v>-13.37051832</v>
      </c>
    </row>
    <row r="92" spans="1:3" ht="30" x14ac:dyDescent="0.25">
      <c r="A92" s="304" t="s">
        <v>584</v>
      </c>
      <c r="B92" s="305" t="s">
        <v>585</v>
      </c>
    </row>
    <row r="93" spans="1:3" x14ac:dyDescent="0.25">
      <c r="A93" s="309" t="s">
        <v>586</v>
      </c>
      <c r="B93" s="309" t="s">
        <v>545</v>
      </c>
    </row>
    <row r="94" spans="1:3" x14ac:dyDescent="0.25">
      <c r="A94" s="309" t="s">
        <v>587</v>
      </c>
      <c r="B94" s="309" t="s">
        <v>588</v>
      </c>
    </row>
    <row r="95" spans="1:3" x14ac:dyDescent="0.25">
      <c r="A95" s="309" t="s">
        <v>589</v>
      </c>
      <c r="B95" s="309"/>
    </row>
    <row r="96" spans="1:3" x14ac:dyDescent="0.25">
      <c r="A96" s="309" t="s">
        <v>590</v>
      </c>
      <c r="B96" s="309" t="s">
        <v>612</v>
      </c>
    </row>
    <row r="97" spans="1:2" x14ac:dyDescent="0.25">
      <c r="A97" s="310" t="s">
        <v>591</v>
      </c>
      <c r="B97" s="310" t="s">
        <v>613</v>
      </c>
    </row>
    <row r="98" spans="1:2" ht="30" x14ac:dyDescent="0.25">
      <c r="A98" s="305" t="s">
        <v>592</v>
      </c>
      <c r="B98" s="311" t="s">
        <v>23</v>
      </c>
    </row>
    <row r="99" spans="1:2" ht="28.5" x14ac:dyDescent="0.25">
      <c r="A99" s="289" t="s">
        <v>593</v>
      </c>
      <c r="B99" s="312">
        <v>7</v>
      </c>
    </row>
    <row r="100" spans="1:2" x14ac:dyDescent="0.25">
      <c r="A100" s="305" t="s">
        <v>567</v>
      </c>
      <c r="B100" s="313"/>
    </row>
    <row r="101" spans="1:2" ht="28.5" customHeight="1" x14ac:dyDescent="0.25">
      <c r="A101" s="305" t="s">
        <v>594</v>
      </c>
      <c r="B101" s="312">
        <v>4</v>
      </c>
    </row>
    <row r="102" spans="1:2" x14ac:dyDescent="0.25">
      <c r="A102" s="305" t="s">
        <v>595</v>
      </c>
      <c r="B102" s="312">
        <v>3</v>
      </c>
    </row>
    <row r="103" spans="1:2" x14ac:dyDescent="0.25">
      <c r="A103" s="314" t="s">
        <v>596</v>
      </c>
      <c r="B103" s="315" t="s">
        <v>597</v>
      </c>
    </row>
    <row r="104" spans="1:2" x14ac:dyDescent="0.25">
      <c r="A104" s="289" t="s">
        <v>598</v>
      </c>
      <c r="B104" s="316"/>
    </row>
    <row r="105" spans="1:2" x14ac:dyDescent="0.25">
      <c r="A105" s="309" t="s">
        <v>599</v>
      </c>
      <c r="B105" s="317" t="str">
        <f>'6.1. Паспорт сетевой график'!H43</f>
        <v>не требуется</v>
      </c>
    </row>
    <row r="106" spans="1:2" x14ac:dyDescent="0.25">
      <c r="A106" s="309" t="s">
        <v>600</v>
      </c>
      <c r="B106" s="315" t="s">
        <v>23</v>
      </c>
    </row>
    <row r="107" spans="1:2" x14ac:dyDescent="0.25">
      <c r="A107" s="309" t="s">
        <v>601</v>
      </c>
      <c r="B107" s="315" t="s">
        <v>23</v>
      </c>
    </row>
    <row r="108" spans="1:2" ht="28.5" x14ac:dyDescent="0.25">
      <c r="A108" s="318" t="s">
        <v>602</v>
      </c>
      <c r="B108" s="319" t="s">
        <v>603</v>
      </c>
    </row>
    <row r="109" spans="1:2" ht="28.5" x14ac:dyDescent="0.25">
      <c r="A109" s="304" t="s">
        <v>604</v>
      </c>
      <c r="B109" s="448" t="s">
        <v>61</v>
      </c>
    </row>
    <row r="110" spans="1:2" x14ac:dyDescent="0.25">
      <c r="A110" s="309" t="s">
        <v>605</v>
      </c>
      <c r="B110" s="449"/>
    </row>
    <row r="111" spans="1:2" x14ac:dyDescent="0.25">
      <c r="A111" s="309" t="s">
        <v>606</v>
      </c>
      <c r="B111" s="449"/>
    </row>
    <row r="112" spans="1:2" x14ac:dyDescent="0.25">
      <c r="A112" s="309" t="s">
        <v>607</v>
      </c>
      <c r="B112" s="449"/>
    </row>
    <row r="113" spans="1:2" x14ac:dyDescent="0.25">
      <c r="A113" s="309" t="s">
        <v>608</v>
      </c>
      <c r="B113" s="449"/>
    </row>
    <row r="114" spans="1:2" x14ac:dyDescent="0.25">
      <c r="A114" s="320" t="s">
        <v>609</v>
      </c>
      <c r="B114" s="450"/>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3" zoomScale="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34" t="str">
        <f>'1. паспорт местоположение'!A5:C5</f>
        <v>Год раскрытия информации: 2025 год</v>
      </c>
      <c r="B4" s="334"/>
      <c r="C4" s="334"/>
      <c r="D4" s="334"/>
      <c r="E4" s="334"/>
      <c r="F4" s="334"/>
      <c r="G4" s="334"/>
      <c r="H4" s="334"/>
      <c r="I4" s="334"/>
      <c r="J4" s="334"/>
      <c r="K4" s="334"/>
      <c r="L4" s="334"/>
      <c r="M4" s="334"/>
      <c r="N4" s="334"/>
      <c r="O4" s="334"/>
      <c r="P4" s="334"/>
      <c r="Q4" s="334"/>
      <c r="R4" s="334"/>
      <c r="S4" s="334"/>
    </row>
    <row r="5" spans="1:28" s="2" customFormat="1" ht="15.75" x14ac:dyDescent="0.2">
      <c r="A5" s="6"/>
    </row>
    <row r="6" spans="1:28" s="2" customFormat="1" ht="18.75" x14ac:dyDescent="0.2">
      <c r="A6" s="335" t="s">
        <v>4</v>
      </c>
      <c r="B6" s="335"/>
      <c r="C6" s="335"/>
      <c r="D6" s="335"/>
      <c r="E6" s="335"/>
      <c r="F6" s="335"/>
      <c r="G6" s="335"/>
      <c r="H6" s="335"/>
      <c r="I6" s="335"/>
      <c r="J6" s="335"/>
      <c r="K6" s="335"/>
      <c r="L6" s="335"/>
      <c r="M6" s="335"/>
      <c r="N6" s="335"/>
      <c r="O6" s="335"/>
      <c r="P6" s="335"/>
      <c r="Q6" s="335"/>
      <c r="R6" s="335"/>
      <c r="S6" s="335"/>
      <c r="T6" s="10"/>
      <c r="U6" s="10"/>
      <c r="V6" s="10"/>
      <c r="W6" s="10"/>
      <c r="X6" s="10"/>
      <c r="Y6" s="10"/>
      <c r="Z6" s="10"/>
      <c r="AA6" s="10"/>
      <c r="AB6" s="10"/>
    </row>
    <row r="7" spans="1:28" s="2" customFormat="1" ht="18.75" x14ac:dyDescent="0.2">
      <c r="A7" s="335"/>
      <c r="B7" s="335"/>
      <c r="C7" s="335"/>
      <c r="D7" s="335"/>
      <c r="E7" s="335"/>
      <c r="F7" s="335"/>
      <c r="G7" s="335"/>
      <c r="H7" s="335"/>
      <c r="I7" s="335"/>
      <c r="J7" s="335"/>
      <c r="K7" s="335"/>
      <c r="L7" s="335"/>
      <c r="M7" s="335"/>
      <c r="N7" s="335"/>
      <c r="O7" s="335"/>
      <c r="P7" s="335"/>
      <c r="Q7" s="335"/>
      <c r="R7" s="335"/>
      <c r="S7" s="335"/>
      <c r="T7" s="10"/>
      <c r="U7" s="10"/>
      <c r="V7" s="10"/>
      <c r="W7" s="10"/>
      <c r="X7" s="10"/>
      <c r="Y7" s="10"/>
      <c r="Z7" s="10"/>
      <c r="AA7" s="10"/>
      <c r="AB7" s="10"/>
    </row>
    <row r="8" spans="1:28" s="2" customFormat="1" ht="18.75" x14ac:dyDescent="0.2">
      <c r="A8" s="345" t="str">
        <f>'1. паспорт местоположение'!A9:C9</f>
        <v>Акционерное общество "Россети Янтарь" ДЗО  ПАО "Россети"</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2" customFormat="1" ht="18.75" x14ac:dyDescent="0.2">
      <c r="A9" s="337" t="s">
        <v>6</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2" customFormat="1" ht="18.75" x14ac:dyDescent="0.2">
      <c r="A10" s="335"/>
      <c r="B10" s="335"/>
      <c r="C10" s="335"/>
      <c r="D10" s="335"/>
      <c r="E10" s="335"/>
      <c r="F10" s="335"/>
      <c r="G10" s="335"/>
      <c r="H10" s="335"/>
      <c r="I10" s="335"/>
      <c r="J10" s="335"/>
      <c r="K10" s="335"/>
      <c r="L10" s="335"/>
      <c r="M10" s="335"/>
      <c r="N10" s="335"/>
      <c r="O10" s="335"/>
      <c r="P10" s="335"/>
      <c r="Q10" s="335"/>
      <c r="R10" s="335"/>
      <c r="S10" s="335"/>
      <c r="T10" s="10"/>
      <c r="U10" s="10"/>
      <c r="V10" s="10"/>
      <c r="W10" s="10"/>
      <c r="X10" s="10"/>
      <c r="Y10" s="10"/>
      <c r="Z10" s="10"/>
      <c r="AA10" s="10"/>
      <c r="AB10" s="10"/>
    </row>
    <row r="11" spans="1:28" s="2" customFormat="1" ht="18.75" x14ac:dyDescent="0.2">
      <c r="A11" s="345" t="str">
        <f>'1. паспорт местоположение'!A12:C12</f>
        <v>N_22-1313</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2" customFormat="1" ht="18.75" x14ac:dyDescent="0.2">
      <c r="A12" s="337" t="s">
        <v>8</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2"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13"/>
      <c r="U13" s="13"/>
      <c r="V13" s="13"/>
      <c r="W13" s="13"/>
      <c r="X13" s="13"/>
      <c r="Y13" s="13"/>
      <c r="Z13" s="13"/>
      <c r="AA13" s="13"/>
      <c r="AB13" s="13"/>
    </row>
    <row r="14" spans="1:28" s="14" customFormat="1" ht="12" x14ac:dyDescent="0.2">
      <c r="A14" s="345" t="str">
        <f>'1. паспорт местоположение'!A9:C9</f>
        <v>Акционерное общество "Россети Янтарь" ДЗО  ПАО "Россети"</v>
      </c>
      <c r="B14" s="345"/>
      <c r="C14" s="345"/>
      <c r="D14" s="345"/>
      <c r="E14" s="345"/>
      <c r="F14" s="345"/>
      <c r="G14" s="345"/>
      <c r="H14" s="345"/>
      <c r="I14" s="345"/>
      <c r="J14" s="345"/>
      <c r="K14" s="345"/>
      <c r="L14" s="345"/>
      <c r="M14" s="345"/>
      <c r="N14" s="345"/>
      <c r="O14" s="345"/>
      <c r="P14" s="345"/>
      <c r="Q14" s="345"/>
      <c r="R14" s="345"/>
      <c r="S14" s="345"/>
      <c r="T14" s="11"/>
      <c r="U14" s="11"/>
      <c r="V14" s="11"/>
      <c r="W14" s="11"/>
      <c r="X14" s="11"/>
      <c r="Y14" s="11"/>
      <c r="Z14" s="11"/>
      <c r="AA14" s="11"/>
      <c r="AB14" s="11"/>
    </row>
    <row r="15" spans="1:28" s="14" customFormat="1" ht="28.5" customHeight="1" x14ac:dyDescent="0.25">
      <c r="A15" s="347" t="str">
        <f>'1. паспорт местоположение'!A15:C15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47"/>
      <c r="C15" s="347"/>
      <c r="D15" s="347"/>
      <c r="E15" s="347"/>
      <c r="F15" s="347"/>
      <c r="G15" s="347"/>
      <c r="H15" s="347"/>
      <c r="I15" s="347"/>
      <c r="J15" s="347"/>
      <c r="K15" s="347"/>
      <c r="L15" s="347"/>
      <c r="M15" s="347"/>
      <c r="N15" s="347"/>
      <c r="O15" s="347"/>
      <c r="P15" s="347"/>
      <c r="Q15" s="347"/>
      <c r="R15" s="347"/>
      <c r="S15" s="347"/>
      <c r="T15" s="12"/>
      <c r="U15" s="12"/>
      <c r="V15" s="12"/>
      <c r="W15" s="12"/>
      <c r="X15" s="12"/>
      <c r="Y15" s="12"/>
      <c r="Z15" s="12"/>
      <c r="AA15" s="12"/>
      <c r="AB15" s="12"/>
    </row>
    <row r="16" spans="1:28" s="14"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13"/>
      <c r="U16" s="13"/>
      <c r="V16" s="13"/>
      <c r="W16" s="13"/>
      <c r="X16" s="13"/>
      <c r="Y16" s="13"/>
    </row>
    <row r="17" spans="1:28" s="14" customFormat="1" ht="45.75" customHeight="1" x14ac:dyDescent="0.2">
      <c r="A17" s="343" t="s">
        <v>77</v>
      </c>
      <c r="B17" s="343"/>
      <c r="C17" s="343"/>
      <c r="D17" s="343"/>
      <c r="E17" s="343"/>
      <c r="F17" s="343"/>
      <c r="G17" s="343"/>
      <c r="H17" s="343"/>
      <c r="I17" s="343"/>
      <c r="J17" s="343"/>
      <c r="K17" s="343"/>
      <c r="L17" s="343"/>
      <c r="M17" s="343"/>
      <c r="N17" s="343"/>
      <c r="O17" s="343"/>
      <c r="P17" s="343"/>
      <c r="Q17" s="343"/>
      <c r="R17" s="343"/>
      <c r="S17" s="343"/>
      <c r="T17" s="15"/>
      <c r="U17" s="15"/>
      <c r="V17" s="15"/>
      <c r="W17" s="15"/>
      <c r="X17" s="15"/>
      <c r="Y17" s="15"/>
      <c r="Z17" s="15"/>
      <c r="AA17" s="15"/>
      <c r="AB17" s="15"/>
    </row>
    <row r="18" spans="1:28" s="14"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13"/>
      <c r="U18" s="13"/>
      <c r="V18" s="13"/>
      <c r="W18" s="13"/>
      <c r="X18" s="13"/>
      <c r="Y18" s="13"/>
    </row>
    <row r="19" spans="1:28" s="14" customFormat="1" ht="54" customHeight="1" x14ac:dyDescent="0.2">
      <c r="A19" s="349" t="s">
        <v>12</v>
      </c>
      <c r="B19" s="349" t="s">
        <v>78</v>
      </c>
      <c r="C19" s="350" t="s">
        <v>79</v>
      </c>
      <c r="D19" s="349" t="s">
        <v>80</v>
      </c>
      <c r="E19" s="349" t="s">
        <v>81</v>
      </c>
      <c r="F19" s="349" t="s">
        <v>82</v>
      </c>
      <c r="G19" s="349" t="s">
        <v>83</v>
      </c>
      <c r="H19" s="349" t="s">
        <v>84</v>
      </c>
      <c r="I19" s="349" t="s">
        <v>85</v>
      </c>
      <c r="J19" s="349" t="s">
        <v>86</v>
      </c>
      <c r="K19" s="349" t="s">
        <v>87</v>
      </c>
      <c r="L19" s="349" t="s">
        <v>88</v>
      </c>
      <c r="M19" s="349" t="s">
        <v>89</v>
      </c>
      <c r="N19" s="349" t="s">
        <v>90</v>
      </c>
      <c r="O19" s="349" t="s">
        <v>91</v>
      </c>
      <c r="P19" s="349" t="s">
        <v>92</v>
      </c>
      <c r="Q19" s="349" t="s">
        <v>93</v>
      </c>
      <c r="R19" s="349"/>
      <c r="S19" s="352" t="s">
        <v>94</v>
      </c>
      <c r="T19" s="13"/>
      <c r="U19" s="13"/>
      <c r="V19" s="13"/>
      <c r="W19" s="13"/>
      <c r="X19" s="13"/>
      <c r="Y19" s="13"/>
    </row>
    <row r="20" spans="1:28" s="14" customFormat="1" ht="180.75" customHeight="1" x14ac:dyDescent="0.2">
      <c r="A20" s="349"/>
      <c r="B20" s="349"/>
      <c r="C20" s="351"/>
      <c r="D20" s="349"/>
      <c r="E20" s="349"/>
      <c r="F20" s="349"/>
      <c r="G20" s="349"/>
      <c r="H20" s="349"/>
      <c r="I20" s="349"/>
      <c r="J20" s="349"/>
      <c r="K20" s="349"/>
      <c r="L20" s="349"/>
      <c r="M20" s="349"/>
      <c r="N20" s="349"/>
      <c r="O20" s="349"/>
      <c r="P20" s="349"/>
      <c r="Q20" s="27" t="s">
        <v>95</v>
      </c>
      <c r="R20" s="28" t="s">
        <v>96</v>
      </c>
      <c r="S20" s="352"/>
      <c r="T20" s="13"/>
      <c r="U20" s="13"/>
      <c r="V20" s="13"/>
      <c r="W20" s="13"/>
      <c r="X20" s="13"/>
      <c r="Y20" s="13"/>
    </row>
    <row r="21" spans="1:28" s="14" customFormat="1" ht="18.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c r="T21" s="13"/>
      <c r="U21" s="13"/>
      <c r="V21" s="13"/>
      <c r="W21" s="13"/>
      <c r="X21" s="13"/>
      <c r="Y21" s="13"/>
    </row>
    <row r="22" spans="1:28" s="14" customFormat="1" ht="18.75" x14ac:dyDescent="0.2">
      <c r="A22" s="27">
        <v>1</v>
      </c>
      <c r="B22" s="17"/>
      <c r="C22" s="27"/>
      <c r="D22" s="18"/>
      <c r="E22" s="17"/>
      <c r="F22" s="18"/>
      <c r="G22" s="17"/>
      <c r="H22" s="18"/>
      <c r="I22" s="17"/>
      <c r="J22" s="18"/>
      <c r="K22" s="17"/>
      <c r="L22" s="18"/>
      <c r="M22" s="17"/>
      <c r="N22" s="18"/>
      <c r="O22" s="17"/>
      <c r="P22" s="18"/>
      <c r="Q22" s="18"/>
      <c r="R22" s="30"/>
      <c r="S22" s="31"/>
      <c r="W22" s="13"/>
      <c r="X22" s="13"/>
      <c r="Y22" s="13"/>
    </row>
    <row r="23" spans="1:28" ht="20.25" customHeight="1" x14ac:dyDescent="0.25">
      <c r="A23" s="32"/>
      <c r="B23" s="29" t="s">
        <v>97</v>
      </c>
      <c r="C23" s="29"/>
      <c r="D23" s="29"/>
      <c r="E23" s="32" t="s">
        <v>98</v>
      </c>
      <c r="F23" s="32" t="s">
        <v>98</v>
      </c>
      <c r="G23" s="32" t="s">
        <v>98</v>
      </c>
      <c r="H23" s="33">
        <f>H22</f>
        <v>0</v>
      </c>
      <c r="I23" s="32"/>
      <c r="J23" s="33">
        <f>J22</f>
        <v>0</v>
      </c>
      <c r="K23" s="32"/>
      <c r="L23" s="32"/>
      <c r="M23" s="32"/>
      <c r="N23" s="32"/>
      <c r="O23" s="32"/>
      <c r="P23" s="32"/>
      <c r="Q23" s="34"/>
      <c r="R23" s="35"/>
      <c r="S23" s="33">
        <f>S22</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70" workbookViewId="0">
      <selection activeCell="N27" sqref="N27:O27"/>
    </sheetView>
  </sheetViews>
  <sheetFormatPr defaultColWidth="10.7109375" defaultRowHeight="15.75" x14ac:dyDescent="0.25"/>
  <cols>
    <col min="1" max="1" width="9.5703125" style="36" customWidth="1"/>
    <col min="2" max="3" width="18" style="36" customWidth="1"/>
    <col min="4" max="4" width="17.7109375" style="36" customWidth="1"/>
    <col min="5" max="5" width="11.140625" style="36" customWidth="1"/>
    <col min="6" max="6" width="11" style="36" customWidth="1"/>
    <col min="7" max="7" width="8.7109375" style="36" customWidth="1"/>
    <col min="8" max="8" width="10.2851562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33.1406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34" t="str">
        <f>'1. паспорт местоположение'!A5:C5</f>
        <v>Год раскрытия информации: 2025 год</v>
      </c>
      <c r="B6" s="334"/>
      <c r="C6" s="334"/>
      <c r="D6" s="334"/>
      <c r="E6" s="334"/>
      <c r="F6" s="334"/>
      <c r="G6" s="334"/>
      <c r="H6" s="334"/>
      <c r="I6" s="334"/>
      <c r="J6" s="334"/>
      <c r="K6" s="334"/>
      <c r="L6" s="334"/>
      <c r="M6" s="334"/>
      <c r="N6" s="334"/>
      <c r="O6" s="334"/>
      <c r="P6" s="334"/>
      <c r="Q6" s="334"/>
      <c r="R6" s="334"/>
      <c r="S6" s="334"/>
      <c r="T6" s="334"/>
    </row>
    <row r="7" spans="1:20" s="2" customFormat="1" x14ac:dyDescent="0.2">
      <c r="A7" s="6"/>
    </row>
    <row r="8" spans="1:20" s="2" customFormat="1" ht="18.75" x14ac:dyDescent="0.2">
      <c r="A8" s="335" t="s">
        <v>4</v>
      </c>
      <c r="B8" s="335"/>
      <c r="C8" s="335"/>
      <c r="D8" s="335"/>
      <c r="E8" s="335"/>
      <c r="F8" s="335"/>
      <c r="G8" s="335"/>
      <c r="H8" s="335"/>
      <c r="I8" s="335"/>
      <c r="J8" s="335"/>
      <c r="K8" s="335"/>
      <c r="L8" s="335"/>
      <c r="M8" s="335"/>
      <c r="N8" s="335"/>
      <c r="O8" s="335"/>
      <c r="P8" s="335"/>
      <c r="Q8" s="335"/>
      <c r="R8" s="335"/>
      <c r="S8" s="335"/>
      <c r="T8" s="335"/>
    </row>
    <row r="9" spans="1:20" s="2"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2" customFormat="1" ht="18.75" customHeight="1" x14ac:dyDescent="0.2">
      <c r="A10" s="345" t="str">
        <f>'1. паспорт местоположение'!A9:C9</f>
        <v>Акционерное общество "Россети Янтарь" ДЗО  ПАО "Россети"</v>
      </c>
      <c r="B10" s="345"/>
      <c r="C10" s="345"/>
      <c r="D10" s="345"/>
      <c r="E10" s="345"/>
      <c r="F10" s="345"/>
      <c r="G10" s="345"/>
      <c r="H10" s="345"/>
      <c r="I10" s="345"/>
      <c r="J10" s="345"/>
      <c r="K10" s="345"/>
      <c r="L10" s="345"/>
      <c r="M10" s="345"/>
      <c r="N10" s="345"/>
      <c r="O10" s="345"/>
      <c r="P10" s="345"/>
      <c r="Q10" s="345"/>
      <c r="R10" s="345"/>
      <c r="S10" s="345"/>
      <c r="T10" s="345"/>
    </row>
    <row r="11" spans="1:20" s="2"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2"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2" customFormat="1" ht="18.75" customHeight="1" x14ac:dyDescent="0.2">
      <c r="A13" s="345" t="str">
        <f>'1. паспорт местоположение'!A12:C12</f>
        <v>N_22-1313</v>
      </c>
      <c r="B13" s="345"/>
      <c r="C13" s="345"/>
      <c r="D13" s="345"/>
      <c r="E13" s="345"/>
      <c r="F13" s="345"/>
      <c r="G13" s="345"/>
      <c r="H13" s="345"/>
      <c r="I13" s="345"/>
      <c r="J13" s="345"/>
      <c r="K13" s="345"/>
      <c r="L13" s="345"/>
      <c r="M13" s="345"/>
      <c r="N13" s="345"/>
      <c r="O13" s="345"/>
      <c r="P13" s="345"/>
      <c r="Q13" s="345"/>
      <c r="R13" s="345"/>
      <c r="S13" s="345"/>
      <c r="T13" s="345"/>
    </row>
    <row r="14" spans="1:20" s="2" customFormat="1" ht="18.75" customHeight="1" x14ac:dyDescent="0.2">
      <c r="A14" s="337" t="s">
        <v>8</v>
      </c>
      <c r="B14" s="337"/>
      <c r="C14" s="337"/>
      <c r="D14" s="337"/>
      <c r="E14" s="337"/>
      <c r="F14" s="337"/>
      <c r="G14" s="337"/>
      <c r="H14" s="337"/>
      <c r="I14" s="337"/>
      <c r="J14" s="337"/>
      <c r="K14" s="337"/>
      <c r="L14" s="337"/>
      <c r="M14" s="337"/>
      <c r="N14" s="337"/>
      <c r="O14" s="337"/>
      <c r="P14" s="337"/>
      <c r="Q14" s="337"/>
      <c r="R14" s="337"/>
      <c r="S14" s="337"/>
      <c r="T14" s="337"/>
    </row>
    <row r="15" spans="1:20" s="2" customFormat="1" ht="15.75" customHeight="1" x14ac:dyDescent="0.2">
      <c r="A15" s="346"/>
      <c r="B15" s="346"/>
      <c r="C15" s="346"/>
      <c r="D15" s="346"/>
      <c r="E15" s="346"/>
      <c r="F15" s="346"/>
      <c r="G15" s="346"/>
      <c r="H15" s="346"/>
      <c r="I15" s="346"/>
      <c r="J15" s="346"/>
      <c r="K15" s="346"/>
      <c r="L15" s="346"/>
      <c r="M15" s="346"/>
      <c r="N15" s="346"/>
      <c r="O15" s="346"/>
      <c r="P15" s="346"/>
      <c r="Q15" s="346"/>
      <c r="R15" s="346"/>
      <c r="S15" s="346"/>
      <c r="T15" s="346"/>
    </row>
    <row r="16" spans="1:20" s="14" customFormat="1" ht="37.5" customHeight="1" x14ac:dyDescent="0.2">
      <c r="A16" s="35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6" s="355"/>
      <c r="C16" s="355"/>
      <c r="D16" s="355"/>
      <c r="E16" s="355"/>
      <c r="F16" s="355"/>
      <c r="G16" s="355"/>
      <c r="H16" s="355"/>
      <c r="I16" s="355"/>
      <c r="J16" s="355"/>
      <c r="K16" s="355"/>
      <c r="L16" s="355"/>
      <c r="M16" s="355"/>
      <c r="N16" s="355"/>
      <c r="O16" s="355"/>
      <c r="P16" s="355"/>
      <c r="Q16" s="355"/>
      <c r="R16" s="355"/>
      <c r="S16" s="355"/>
      <c r="T16" s="355"/>
    </row>
    <row r="17" spans="1:113" s="14" customFormat="1" ht="15" customHeight="1" x14ac:dyDescent="0.2">
      <c r="A17" s="337" t="s">
        <v>10</v>
      </c>
      <c r="B17" s="337"/>
      <c r="C17" s="337"/>
      <c r="D17" s="337"/>
      <c r="E17" s="337"/>
      <c r="F17" s="337"/>
      <c r="G17" s="337"/>
      <c r="H17" s="337"/>
      <c r="I17" s="337"/>
      <c r="J17" s="337"/>
      <c r="K17" s="337"/>
      <c r="L17" s="337"/>
      <c r="M17" s="337"/>
      <c r="N17" s="337"/>
      <c r="O17" s="337"/>
      <c r="P17" s="337"/>
      <c r="Q17" s="337"/>
      <c r="R17" s="337"/>
      <c r="S17" s="337"/>
      <c r="T17" s="337"/>
    </row>
    <row r="18" spans="1:113" s="14"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14" customFormat="1" ht="15" customHeight="1" x14ac:dyDescent="0.2">
      <c r="A19" s="344" t="s">
        <v>99</v>
      </c>
      <c r="B19" s="344"/>
      <c r="C19" s="344"/>
      <c r="D19" s="344"/>
      <c r="E19" s="344"/>
      <c r="F19" s="344"/>
      <c r="G19" s="344"/>
      <c r="H19" s="344"/>
      <c r="I19" s="344"/>
      <c r="J19" s="344"/>
      <c r="K19" s="344"/>
      <c r="L19" s="344"/>
      <c r="M19" s="344"/>
      <c r="N19" s="344"/>
      <c r="O19" s="344"/>
      <c r="P19" s="344"/>
      <c r="Q19" s="344"/>
      <c r="R19" s="344"/>
      <c r="S19" s="344"/>
      <c r="T19" s="344"/>
    </row>
    <row r="20" spans="1:113" s="37" customFormat="1" ht="21" customHeight="1" x14ac:dyDescent="0.25">
      <c r="A20" s="357"/>
      <c r="B20" s="357"/>
      <c r="C20" s="357"/>
      <c r="D20" s="357"/>
      <c r="E20" s="357"/>
      <c r="F20" s="357"/>
      <c r="G20" s="357"/>
      <c r="H20" s="357"/>
      <c r="I20" s="357"/>
      <c r="J20" s="357"/>
      <c r="K20" s="357"/>
      <c r="L20" s="357"/>
      <c r="M20" s="357"/>
      <c r="N20" s="357"/>
      <c r="O20" s="357"/>
      <c r="P20" s="357"/>
      <c r="Q20" s="357"/>
      <c r="R20" s="357"/>
      <c r="S20" s="357"/>
      <c r="T20" s="357"/>
    </row>
    <row r="21" spans="1:113" ht="46.5" customHeight="1" x14ac:dyDescent="0.25">
      <c r="A21" s="358" t="s">
        <v>12</v>
      </c>
      <c r="B21" s="361" t="s">
        <v>100</v>
      </c>
      <c r="C21" s="362"/>
      <c r="D21" s="365" t="s">
        <v>101</v>
      </c>
      <c r="E21" s="361" t="s">
        <v>102</v>
      </c>
      <c r="F21" s="362"/>
      <c r="G21" s="361" t="s">
        <v>103</v>
      </c>
      <c r="H21" s="362"/>
      <c r="I21" s="361" t="s">
        <v>104</v>
      </c>
      <c r="J21" s="362"/>
      <c r="K21" s="365" t="s">
        <v>105</v>
      </c>
      <c r="L21" s="361" t="s">
        <v>106</v>
      </c>
      <c r="M21" s="362"/>
      <c r="N21" s="361" t="s">
        <v>107</v>
      </c>
      <c r="O21" s="362"/>
      <c r="P21" s="365" t="s">
        <v>108</v>
      </c>
      <c r="Q21" s="353" t="s">
        <v>109</v>
      </c>
      <c r="R21" s="368"/>
      <c r="S21" s="353" t="s">
        <v>110</v>
      </c>
      <c r="T21" s="354"/>
    </row>
    <row r="22" spans="1:113" ht="204.75" customHeight="1" x14ac:dyDescent="0.25">
      <c r="A22" s="359"/>
      <c r="B22" s="363"/>
      <c r="C22" s="364"/>
      <c r="D22" s="366"/>
      <c r="E22" s="363"/>
      <c r="F22" s="364"/>
      <c r="G22" s="363"/>
      <c r="H22" s="364"/>
      <c r="I22" s="363"/>
      <c r="J22" s="364"/>
      <c r="K22" s="367"/>
      <c r="L22" s="363"/>
      <c r="M22" s="364"/>
      <c r="N22" s="363"/>
      <c r="O22" s="364"/>
      <c r="P22" s="367"/>
      <c r="Q22" s="39" t="s">
        <v>111</v>
      </c>
      <c r="R22" s="39" t="s">
        <v>112</v>
      </c>
      <c r="S22" s="39" t="s">
        <v>113</v>
      </c>
      <c r="T22" s="39" t="s">
        <v>114</v>
      </c>
    </row>
    <row r="23" spans="1:113" ht="51.75" customHeight="1" x14ac:dyDescent="0.25">
      <c r="A23" s="360"/>
      <c r="B23" s="39" t="s">
        <v>115</v>
      </c>
      <c r="C23" s="39" t="s">
        <v>116</v>
      </c>
      <c r="D23" s="367"/>
      <c r="E23" s="39" t="s">
        <v>115</v>
      </c>
      <c r="F23" s="39" t="s">
        <v>116</v>
      </c>
      <c r="G23" s="39" t="s">
        <v>115</v>
      </c>
      <c r="H23" s="39" t="s">
        <v>116</v>
      </c>
      <c r="I23" s="39" t="s">
        <v>115</v>
      </c>
      <c r="J23" s="39" t="s">
        <v>116</v>
      </c>
      <c r="K23" s="39" t="s">
        <v>115</v>
      </c>
      <c r="L23" s="39" t="s">
        <v>115</v>
      </c>
      <c r="M23" s="39" t="s">
        <v>116</v>
      </c>
      <c r="N23" s="39" t="s">
        <v>115</v>
      </c>
      <c r="O23" s="39" t="s">
        <v>116</v>
      </c>
      <c r="P23" s="38" t="s">
        <v>115</v>
      </c>
      <c r="Q23" s="39" t="s">
        <v>115</v>
      </c>
      <c r="R23" s="39" t="s">
        <v>115</v>
      </c>
      <c r="S23" s="39" t="s">
        <v>115</v>
      </c>
      <c r="T23" s="39" t="s">
        <v>115</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41" customFormat="1" ht="47.25" x14ac:dyDescent="0.25">
      <c r="A25" s="42">
        <v>1</v>
      </c>
      <c r="B25" s="43" t="s">
        <v>117</v>
      </c>
      <c r="C25" s="43" t="s">
        <v>118</v>
      </c>
      <c r="D25" s="43" t="s">
        <v>119</v>
      </c>
      <c r="E25" s="43" t="s">
        <v>120</v>
      </c>
      <c r="F25" s="43" t="s">
        <v>121</v>
      </c>
      <c r="G25" s="43" t="s">
        <v>122</v>
      </c>
      <c r="H25" s="43" t="s">
        <v>122</v>
      </c>
      <c r="I25" s="43">
        <v>1978</v>
      </c>
      <c r="J25" s="44" t="s">
        <v>123</v>
      </c>
      <c r="K25" s="43">
        <v>1978</v>
      </c>
      <c r="L25" s="42">
        <v>15</v>
      </c>
      <c r="M25" s="42">
        <v>15</v>
      </c>
      <c r="N25" s="42">
        <v>0.1</v>
      </c>
      <c r="O25" s="42">
        <v>0.25</v>
      </c>
      <c r="P25" s="44" t="s">
        <v>124</v>
      </c>
      <c r="Q25" s="45" t="str">
        <f>'[2]3.1. паспорт Техсостояние ПС'!Q25</f>
        <v>2018 г. ООО "ЭнЭкА"</v>
      </c>
      <c r="R25" s="43" t="s">
        <v>125</v>
      </c>
      <c r="S25" s="45" t="s">
        <v>126</v>
      </c>
      <c r="T25" s="46" t="s">
        <v>127</v>
      </c>
    </row>
    <row r="26" spans="1:113" s="37" customFormat="1" ht="47.25" x14ac:dyDescent="0.25">
      <c r="A26" s="42">
        <v>2</v>
      </c>
      <c r="B26" s="43" t="s">
        <v>98</v>
      </c>
      <c r="C26" s="47" t="s">
        <v>128</v>
      </c>
      <c r="D26" s="43" t="s">
        <v>119</v>
      </c>
      <c r="E26" s="43" t="s">
        <v>98</v>
      </c>
      <c r="F26" s="43" t="s">
        <v>121</v>
      </c>
      <c r="G26" s="43" t="s">
        <v>98</v>
      </c>
      <c r="H26" s="43" t="s">
        <v>122</v>
      </c>
      <c r="I26" s="43" t="s">
        <v>98</v>
      </c>
      <c r="J26" s="44" t="s">
        <v>123</v>
      </c>
      <c r="K26" s="44" t="s">
        <v>98</v>
      </c>
      <c r="L26" s="44" t="s">
        <v>98</v>
      </c>
      <c r="M26" s="42">
        <v>15</v>
      </c>
      <c r="N26" s="42" t="s">
        <v>98</v>
      </c>
      <c r="O26" s="42">
        <v>0.4</v>
      </c>
      <c r="P26" s="44" t="s">
        <v>98</v>
      </c>
      <c r="Q26" s="45" t="s">
        <v>98</v>
      </c>
      <c r="R26" s="43" t="s">
        <v>98</v>
      </c>
      <c r="S26" s="45" t="s">
        <v>98</v>
      </c>
      <c r="T26" s="43" t="s">
        <v>98</v>
      </c>
    </row>
    <row r="27" spans="1:113" ht="33" customHeight="1" x14ac:dyDescent="0.25">
      <c r="N27" s="36">
        <f>SUM(N25:N26)</f>
        <v>0.1</v>
      </c>
      <c r="O27" s="36">
        <f>SUM(O25:O26)</f>
        <v>0.65</v>
      </c>
      <c r="P27" s="36">
        <f>O27-N27</f>
        <v>0.55000000000000004</v>
      </c>
    </row>
    <row r="28" spans="1:113" s="48" customFormat="1" ht="12.75" x14ac:dyDescent="0.2">
      <c r="B28" s="49"/>
      <c r="C28" s="49"/>
      <c r="K28" s="49"/>
    </row>
    <row r="29" spans="1:113" s="48" customFormat="1" x14ac:dyDescent="0.25">
      <c r="B29" s="36" t="s">
        <v>129</v>
      </c>
      <c r="C29" s="36"/>
      <c r="D29" s="36"/>
      <c r="E29" s="36"/>
      <c r="F29" s="36"/>
      <c r="G29" s="36"/>
      <c r="H29" s="36"/>
      <c r="I29" s="36"/>
      <c r="J29" s="36"/>
      <c r="K29" s="36"/>
      <c r="L29" s="36"/>
      <c r="M29" s="36"/>
      <c r="N29" s="36"/>
      <c r="O29" s="36"/>
      <c r="P29" s="36"/>
      <c r="Q29" s="36"/>
      <c r="R29" s="36"/>
    </row>
    <row r="30" spans="1:113" x14ac:dyDescent="0.25">
      <c r="B30" s="356" t="s">
        <v>130</v>
      </c>
      <c r="C30" s="356"/>
      <c r="D30" s="356"/>
      <c r="E30" s="356"/>
      <c r="F30" s="356"/>
      <c r="G30" s="356"/>
      <c r="H30" s="356"/>
      <c r="I30" s="356"/>
      <c r="J30" s="356"/>
      <c r="K30" s="356"/>
      <c r="L30" s="356"/>
      <c r="M30" s="356"/>
      <c r="N30" s="356"/>
      <c r="O30" s="356"/>
      <c r="P30" s="356"/>
      <c r="Q30" s="356"/>
      <c r="R30" s="356"/>
    </row>
    <row r="32" spans="1:113" x14ac:dyDescent="0.25">
      <c r="B32" s="50" t="s">
        <v>131</v>
      </c>
      <c r="C32" s="50"/>
      <c r="D32" s="50"/>
      <c r="E32" s="50"/>
      <c r="H32" s="50"/>
      <c r="I32" s="50"/>
      <c r="J32" s="50"/>
      <c r="K32" s="50"/>
      <c r="L32" s="50"/>
      <c r="M32" s="50"/>
      <c r="N32" s="50"/>
      <c r="O32" s="50"/>
      <c r="P32" s="50"/>
      <c r="Q32" s="50"/>
      <c r="R32" s="50"/>
      <c r="S32" s="51"/>
      <c r="T32" s="51"/>
      <c r="U32" s="51"/>
      <c r="V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x14ac:dyDescent="0.25">
      <c r="B33" s="50" t="s">
        <v>132</v>
      </c>
      <c r="C33" s="50"/>
      <c r="D33" s="50"/>
      <c r="E33" s="50"/>
      <c r="H33" s="50"/>
      <c r="I33" s="50"/>
      <c r="J33" s="50"/>
      <c r="K33" s="50"/>
      <c r="L33" s="50"/>
      <c r="M33" s="50"/>
      <c r="N33" s="50"/>
      <c r="O33" s="50"/>
      <c r="P33" s="50"/>
      <c r="Q33" s="50"/>
      <c r="R33" s="50"/>
    </row>
    <row r="34" spans="2:113" x14ac:dyDescent="0.25">
      <c r="B34" s="50" t="s">
        <v>133</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50" t="s">
        <v>134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50" t="s">
        <v>135</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50" t="s">
        <v>136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50" t="s">
        <v>137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50" t="s">
        <v>138</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50" t="s">
        <v>139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B41" s="50" t="s">
        <v>140</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sheetData>
  <mergeCells count="27">
    <mergeCell ref="B30:R30"/>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6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6"/>
  <sheetViews>
    <sheetView view="pageBreakPreview" topLeftCell="A18" zoomScale="70" workbookViewId="0">
      <selection activeCell="B27" sqref="B27"/>
    </sheetView>
  </sheetViews>
  <sheetFormatPr defaultColWidth="10.7109375" defaultRowHeight="15.75" x14ac:dyDescent="0.25"/>
  <cols>
    <col min="1" max="1" width="10.7109375" style="36"/>
    <col min="2" max="4" width="27.42578125" style="36" customWidth="1"/>
    <col min="5" max="5" width="21.2851562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8.7109375" style="36" customWidth="1"/>
    <col min="23" max="23" width="10.85546875" style="36" customWidth="1"/>
    <col min="24" max="24" width="24.5703125" style="36" customWidth="1"/>
    <col min="25" max="25" width="25.28515625" style="36" customWidth="1"/>
    <col min="26" max="26" width="20.85546875" style="36" customWidth="1"/>
    <col min="27" max="27" width="27.57031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141</v>
      </c>
    </row>
    <row r="4" spans="1:27" s="2" customFormat="1" x14ac:dyDescent="0.2">
      <c r="E4" s="6"/>
    </row>
    <row r="5" spans="1:27" s="2" customFormat="1" x14ac:dyDescent="0.2">
      <c r="A5" s="334" t="str">
        <f>'1. паспорт местоположение'!A5:C5</f>
        <v>Год раскрытия информации: 2025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35" t="s">
        <v>4</v>
      </c>
      <c r="F7" s="335"/>
      <c r="G7" s="335"/>
      <c r="H7" s="335"/>
      <c r="I7" s="335"/>
      <c r="J7" s="335"/>
      <c r="K7" s="335"/>
      <c r="L7" s="335"/>
      <c r="M7" s="335"/>
      <c r="N7" s="335"/>
      <c r="O7" s="335"/>
      <c r="P7" s="335"/>
      <c r="Q7" s="335"/>
      <c r="R7" s="335"/>
      <c r="S7" s="335"/>
      <c r="T7" s="335"/>
      <c r="U7" s="335"/>
      <c r="V7" s="335"/>
      <c r="W7" s="335"/>
      <c r="X7" s="335"/>
      <c r="Y7" s="335"/>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45" t="str">
        <f>'1. паспорт местоположение'!A9</f>
        <v>Акционерное общество "Россети Янтарь" ДЗО  ПАО "Россети"</v>
      </c>
      <c r="F9" s="345"/>
      <c r="G9" s="345"/>
      <c r="H9" s="345"/>
      <c r="I9" s="345"/>
      <c r="J9" s="345"/>
      <c r="K9" s="345"/>
      <c r="L9" s="345"/>
      <c r="M9" s="345"/>
      <c r="N9" s="345"/>
      <c r="O9" s="345"/>
      <c r="P9" s="345"/>
      <c r="Q9" s="345"/>
      <c r="R9" s="345"/>
      <c r="S9" s="345"/>
      <c r="T9" s="345"/>
      <c r="U9" s="345"/>
      <c r="V9" s="345"/>
      <c r="W9" s="345"/>
      <c r="X9" s="345"/>
      <c r="Y9" s="345"/>
    </row>
    <row r="10" spans="1:27" s="2"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45" t="str">
        <f>'1. паспорт местоположение'!A12</f>
        <v>N_22-1313</v>
      </c>
      <c r="F12" s="345"/>
      <c r="G12" s="345"/>
      <c r="H12" s="345"/>
      <c r="I12" s="345"/>
      <c r="J12" s="345"/>
      <c r="K12" s="345"/>
      <c r="L12" s="345"/>
      <c r="M12" s="345"/>
      <c r="N12" s="345"/>
      <c r="O12" s="345"/>
      <c r="P12" s="345"/>
      <c r="Q12" s="345"/>
      <c r="R12" s="345"/>
      <c r="S12" s="345"/>
      <c r="T12" s="345"/>
      <c r="U12" s="345"/>
      <c r="V12" s="345"/>
      <c r="W12" s="345"/>
      <c r="X12" s="345"/>
      <c r="Y12" s="345"/>
    </row>
    <row r="13" spans="1:27" s="2" customFormat="1" ht="18.75" customHeight="1" x14ac:dyDescent="0.2">
      <c r="E13" s="337" t="s">
        <v>8</v>
      </c>
      <c r="F13" s="337"/>
      <c r="G13" s="337"/>
      <c r="H13" s="337"/>
      <c r="I13" s="337"/>
      <c r="J13" s="337"/>
      <c r="K13" s="337"/>
      <c r="L13" s="337"/>
      <c r="M13" s="337"/>
      <c r="N13" s="337"/>
      <c r="O13" s="337"/>
      <c r="P13" s="337"/>
      <c r="Q13" s="337"/>
      <c r="R13" s="337"/>
      <c r="S13" s="337"/>
      <c r="T13" s="337"/>
      <c r="U13" s="337"/>
      <c r="V13" s="337"/>
      <c r="W13" s="337"/>
      <c r="X13" s="337"/>
      <c r="Y13" s="337"/>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5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F15" s="355"/>
      <c r="G15" s="355"/>
      <c r="H15" s="355"/>
      <c r="I15" s="355"/>
      <c r="J15" s="355"/>
      <c r="K15" s="355"/>
      <c r="L15" s="355"/>
      <c r="M15" s="355"/>
      <c r="N15" s="355"/>
      <c r="O15" s="355"/>
      <c r="P15" s="355"/>
      <c r="Q15" s="355"/>
      <c r="R15" s="355"/>
      <c r="S15" s="355"/>
      <c r="T15" s="355"/>
      <c r="U15" s="355"/>
      <c r="V15" s="355"/>
      <c r="W15" s="355"/>
      <c r="X15" s="355"/>
      <c r="Y15" s="355"/>
    </row>
    <row r="16" spans="1:27" s="14" customFormat="1" ht="15" customHeight="1" x14ac:dyDescent="0.2">
      <c r="E16" s="337" t="s">
        <v>10</v>
      </c>
      <c r="F16" s="337"/>
      <c r="G16" s="337"/>
      <c r="H16" s="337"/>
      <c r="I16" s="337"/>
      <c r="J16" s="337"/>
      <c r="K16" s="337"/>
      <c r="L16" s="337"/>
      <c r="M16" s="337"/>
      <c r="N16" s="337"/>
      <c r="O16" s="337"/>
      <c r="P16" s="337"/>
      <c r="Q16" s="337"/>
      <c r="R16" s="337"/>
      <c r="S16" s="337"/>
      <c r="T16" s="337"/>
      <c r="U16" s="337"/>
      <c r="V16" s="337"/>
      <c r="W16" s="337"/>
      <c r="X16" s="337"/>
      <c r="Y16" s="337"/>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44"/>
      <c r="F18" s="344"/>
      <c r="G18" s="344"/>
      <c r="H18" s="344"/>
      <c r="I18" s="344"/>
      <c r="J18" s="344"/>
      <c r="K18" s="344"/>
      <c r="L18" s="344"/>
      <c r="M18" s="344"/>
      <c r="N18" s="344"/>
      <c r="O18" s="344"/>
      <c r="P18" s="344"/>
      <c r="Q18" s="344"/>
      <c r="R18" s="344"/>
      <c r="S18" s="344"/>
      <c r="T18" s="344"/>
      <c r="U18" s="344"/>
      <c r="V18" s="344"/>
      <c r="W18" s="344"/>
      <c r="X18" s="344"/>
      <c r="Y18" s="344"/>
    </row>
    <row r="19" spans="1:27" ht="25.5" customHeight="1" x14ac:dyDescent="0.25">
      <c r="A19" s="344" t="s">
        <v>142</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row>
    <row r="20" spans="1:27" s="37" customFormat="1" ht="21" customHeight="1" x14ac:dyDescent="0.25"/>
    <row r="21" spans="1:27" ht="15.75" customHeight="1" x14ac:dyDescent="0.25">
      <c r="A21" s="365" t="s">
        <v>12</v>
      </c>
      <c r="B21" s="361" t="s">
        <v>143</v>
      </c>
      <c r="C21" s="362"/>
      <c r="D21" s="361" t="s">
        <v>144</v>
      </c>
      <c r="E21" s="362"/>
      <c r="F21" s="353" t="s">
        <v>87</v>
      </c>
      <c r="G21" s="354"/>
      <c r="H21" s="354"/>
      <c r="I21" s="368"/>
      <c r="J21" s="365" t="s">
        <v>145</v>
      </c>
      <c r="K21" s="361" t="s">
        <v>146</v>
      </c>
      <c r="L21" s="362"/>
      <c r="M21" s="361" t="s">
        <v>147</v>
      </c>
      <c r="N21" s="362"/>
      <c r="O21" s="361" t="s">
        <v>148</v>
      </c>
      <c r="P21" s="362"/>
      <c r="Q21" s="361" t="s">
        <v>149</v>
      </c>
      <c r="R21" s="362"/>
      <c r="S21" s="365" t="s">
        <v>150</v>
      </c>
      <c r="T21" s="365" t="s">
        <v>151</v>
      </c>
      <c r="U21" s="365" t="s">
        <v>152</v>
      </c>
      <c r="V21" s="361" t="s">
        <v>153</v>
      </c>
      <c r="W21" s="362"/>
      <c r="X21" s="353" t="s">
        <v>109</v>
      </c>
      <c r="Y21" s="354"/>
      <c r="Z21" s="353" t="s">
        <v>110</v>
      </c>
      <c r="AA21" s="354"/>
    </row>
    <row r="22" spans="1:27" ht="216" customHeight="1" x14ac:dyDescent="0.25">
      <c r="A22" s="366"/>
      <c r="B22" s="363"/>
      <c r="C22" s="364"/>
      <c r="D22" s="363"/>
      <c r="E22" s="364"/>
      <c r="F22" s="353" t="s">
        <v>154</v>
      </c>
      <c r="G22" s="368"/>
      <c r="H22" s="353" t="s">
        <v>155</v>
      </c>
      <c r="I22" s="368"/>
      <c r="J22" s="367"/>
      <c r="K22" s="363"/>
      <c r="L22" s="364"/>
      <c r="M22" s="363"/>
      <c r="N22" s="364"/>
      <c r="O22" s="363"/>
      <c r="P22" s="364"/>
      <c r="Q22" s="363"/>
      <c r="R22" s="364"/>
      <c r="S22" s="367"/>
      <c r="T22" s="367"/>
      <c r="U22" s="367"/>
      <c r="V22" s="363"/>
      <c r="W22" s="364"/>
      <c r="X22" s="39" t="s">
        <v>111</v>
      </c>
      <c r="Y22" s="39" t="s">
        <v>112</v>
      </c>
      <c r="Z22" s="39" t="s">
        <v>113</v>
      </c>
      <c r="AA22" s="39" t="s">
        <v>114</v>
      </c>
    </row>
    <row r="23" spans="1:27" ht="60" customHeight="1" x14ac:dyDescent="0.25">
      <c r="A23" s="367"/>
      <c r="B23" s="38" t="s">
        <v>115</v>
      </c>
      <c r="C23" s="38" t="s">
        <v>116</v>
      </c>
      <c r="D23" s="38" t="s">
        <v>115</v>
      </c>
      <c r="E23" s="38" t="s">
        <v>116</v>
      </c>
      <c r="F23" s="38" t="s">
        <v>115</v>
      </c>
      <c r="G23" s="38" t="s">
        <v>116</v>
      </c>
      <c r="H23" s="38" t="s">
        <v>115</v>
      </c>
      <c r="I23" s="38" t="s">
        <v>116</v>
      </c>
      <c r="J23" s="38" t="s">
        <v>115</v>
      </c>
      <c r="K23" s="38" t="s">
        <v>115</v>
      </c>
      <c r="L23" s="38" t="s">
        <v>116</v>
      </c>
      <c r="M23" s="38" t="s">
        <v>115</v>
      </c>
      <c r="N23" s="38" t="s">
        <v>116</v>
      </c>
      <c r="O23" s="38" t="s">
        <v>115</v>
      </c>
      <c r="P23" s="38" t="s">
        <v>116</v>
      </c>
      <c r="Q23" s="38" t="s">
        <v>115</v>
      </c>
      <c r="R23" s="38" t="s">
        <v>116</v>
      </c>
      <c r="S23" s="38" t="s">
        <v>115</v>
      </c>
      <c r="T23" s="38" t="s">
        <v>115</v>
      </c>
      <c r="U23" s="38" t="s">
        <v>115</v>
      </c>
      <c r="V23" s="38" t="s">
        <v>115</v>
      </c>
      <c r="W23" s="38" t="s">
        <v>116</v>
      </c>
      <c r="X23" s="38" t="s">
        <v>115</v>
      </c>
      <c r="Y23" s="38" t="s">
        <v>115</v>
      </c>
      <c r="Z23" s="39" t="s">
        <v>115</v>
      </c>
      <c r="AA23" s="39" t="s">
        <v>115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ht="47.25" x14ac:dyDescent="0.25">
      <c r="A25" s="42">
        <v>1</v>
      </c>
      <c r="B25" s="47" t="s">
        <v>98</v>
      </c>
      <c r="C25" s="47" t="s">
        <v>156</v>
      </c>
      <c r="D25" s="53" t="s">
        <v>98</v>
      </c>
      <c r="E25" s="47" t="s">
        <v>157</v>
      </c>
      <c r="F25" s="42" t="s">
        <v>98</v>
      </c>
      <c r="G25" s="42">
        <v>15</v>
      </c>
      <c r="H25" s="42" t="s">
        <v>98</v>
      </c>
      <c r="I25" s="42">
        <v>15</v>
      </c>
      <c r="J25" s="42" t="s">
        <v>98</v>
      </c>
      <c r="K25" s="42" t="s">
        <v>98</v>
      </c>
      <c r="L25" s="42">
        <v>1</v>
      </c>
      <c r="M25" s="42" t="s">
        <v>98</v>
      </c>
      <c r="N25" s="42">
        <v>70</v>
      </c>
      <c r="O25" s="42" t="s">
        <v>98</v>
      </c>
      <c r="P25" s="42" t="s">
        <v>158</v>
      </c>
      <c r="Q25" s="42" t="s">
        <v>98</v>
      </c>
      <c r="R25" s="42">
        <v>0.29599999999999999</v>
      </c>
      <c r="S25" s="42" t="s">
        <v>98</v>
      </c>
      <c r="T25" s="42" t="s">
        <v>98</v>
      </c>
      <c r="U25" s="42" t="s">
        <v>98</v>
      </c>
      <c r="V25" s="42" t="s">
        <v>98</v>
      </c>
      <c r="W25" s="42" t="s">
        <v>159</v>
      </c>
      <c r="X25" s="42" t="s">
        <v>98</v>
      </c>
      <c r="Y25" s="42" t="s">
        <v>98</v>
      </c>
      <c r="Z25" s="42" t="s">
        <v>98</v>
      </c>
      <c r="AA25" s="42" t="s">
        <v>98</v>
      </c>
    </row>
    <row r="26" spans="1:27" ht="47.25" x14ac:dyDescent="0.25">
      <c r="A26" s="42">
        <v>2</v>
      </c>
      <c r="B26" s="42" t="s">
        <v>98</v>
      </c>
      <c r="C26" s="43" t="s">
        <v>160</v>
      </c>
      <c r="D26" s="42" t="s">
        <v>98</v>
      </c>
      <c r="E26" s="43" t="s">
        <v>161</v>
      </c>
      <c r="F26" s="42" t="s">
        <v>98</v>
      </c>
      <c r="G26" s="42">
        <v>0.4</v>
      </c>
      <c r="H26" s="42" t="s">
        <v>98</v>
      </c>
      <c r="I26" s="42">
        <v>0.4</v>
      </c>
      <c r="J26" s="42" t="s">
        <v>98</v>
      </c>
      <c r="K26" s="42" t="s">
        <v>98</v>
      </c>
      <c r="L26" s="42">
        <v>1</v>
      </c>
      <c r="M26" s="42" t="s">
        <v>98</v>
      </c>
      <c r="N26" s="42">
        <v>120</v>
      </c>
      <c r="O26" s="42" t="s">
        <v>98</v>
      </c>
      <c r="P26" s="42" t="s">
        <v>162</v>
      </c>
      <c r="Q26" s="42" t="s">
        <v>98</v>
      </c>
      <c r="R26" s="42">
        <v>0.156</v>
      </c>
      <c r="S26" s="42" t="s">
        <v>98</v>
      </c>
      <c r="T26" s="42" t="s">
        <v>98</v>
      </c>
      <c r="U26" s="42" t="s">
        <v>98</v>
      </c>
      <c r="V26" s="42" t="s">
        <v>98</v>
      </c>
      <c r="W26" s="42" t="s">
        <v>159</v>
      </c>
      <c r="X26" s="42" t="s">
        <v>98</v>
      </c>
      <c r="Y26" s="42" t="s">
        <v>98</v>
      </c>
      <c r="Z26" s="42" t="s">
        <v>98</v>
      </c>
      <c r="AA26" s="42" t="s">
        <v>98</v>
      </c>
    </row>
    <row r="27" spans="1:27" ht="47.25" x14ac:dyDescent="0.25">
      <c r="A27" s="42">
        <v>3</v>
      </c>
      <c r="B27" s="47" t="s">
        <v>163</v>
      </c>
      <c r="C27" s="47" t="s">
        <v>98</v>
      </c>
      <c r="D27" s="47" t="s">
        <v>164</v>
      </c>
      <c r="E27" s="47" t="s">
        <v>98</v>
      </c>
      <c r="F27" s="42">
        <v>0.4</v>
      </c>
      <c r="G27" s="42" t="s">
        <v>98</v>
      </c>
      <c r="H27" s="42">
        <v>0.4</v>
      </c>
      <c r="I27" s="42" t="s">
        <v>98</v>
      </c>
      <c r="J27" s="42">
        <v>2015</v>
      </c>
      <c r="K27" s="42">
        <v>1</v>
      </c>
      <c r="L27" s="42" t="s">
        <v>98</v>
      </c>
      <c r="M27" s="43">
        <v>120</v>
      </c>
      <c r="N27" s="42" t="s">
        <v>98</v>
      </c>
      <c r="O27" s="42" t="s">
        <v>162</v>
      </c>
      <c r="P27" s="42" t="s">
        <v>98</v>
      </c>
      <c r="Q27" s="42">
        <v>0.03</v>
      </c>
      <c r="R27" s="42" t="s">
        <v>98</v>
      </c>
      <c r="S27" s="42" t="s">
        <v>98</v>
      </c>
      <c r="T27" s="42">
        <v>2013</v>
      </c>
      <c r="U27" s="42">
        <v>1</v>
      </c>
      <c r="V27" s="42" t="s">
        <v>159</v>
      </c>
      <c r="W27" s="42" t="s">
        <v>159</v>
      </c>
      <c r="X27" s="45" t="s">
        <v>165</v>
      </c>
      <c r="Y27" s="54" t="s">
        <v>166</v>
      </c>
      <c r="Z27" s="43" t="s">
        <v>167</v>
      </c>
      <c r="AA27" s="55" t="s">
        <v>168</v>
      </c>
    </row>
    <row r="28" spans="1:27" s="56" customFormat="1" ht="47.25" x14ac:dyDescent="0.25">
      <c r="A28" s="42">
        <v>4</v>
      </c>
      <c r="B28" s="47" t="s">
        <v>98</v>
      </c>
      <c r="C28" s="47" t="s">
        <v>169</v>
      </c>
      <c r="D28" s="47" t="s">
        <v>98</v>
      </c>
      <c r="E28" s="47" t="s">
        <v>170</v>
      </c>
      <c r="F28" s="42" t="s">
        <v>98</v>
      </c>
      <c r="G28" s="42">
        <v>0.4</v>
      </c>
      <c r="H28" s="57"/>
      <c r="I28" s="42">
        <v>0.4</v>
      </c>
      <c r="J28" s="42" t="s">
        <v>98</v>
      </c>
      <c r="K28" s="42" t="s">
        <v>98</v>
      </c>
      <c r="L28" s="42">
        <v>1</v>
      </c>
      <c r="M28" s="42" t="s">
        <v>98</v>
      </c>
      <c r="N28" s="42">
        <v>120</v>
      </c>
      <c r="O28" s="42" t="s">
        <v>98</v>
      </c>
      <c r="P28" s="42" t="s">
        <v>162</v>
      </c>
      <c r="Q28" s="42" t="s">
        <v>98</v>
      </c>
      <c r="R28" s="42">
        <v>0.255</v>
      </c>
      <c r="S28" s="42" t="s">
        <v>98</v>
      </c>
      <c r="T28" s="42" t="s">
        <v>98</v>
      </c>
      <c r="U28" s="42" t="s">
        <v>98</v>
      </c>
      <c r="V28" s="42" t="s">
        <v>98</v>
      </c>
      <c r="W28" s="42" t="s">
        <v>159</v>
      </c>
      <c r="X28" s="42" t="s">
        <v>98</v>
      </c>
      <c r="Y28" s="43" t="s">
        <v>98</v>
      </c>
      <c r="Z28" s="43" t="s">
        <v>98</v>
      </c>
      <c r="AA28" s="43" t="s">
        <v>98</v>
      </c>
    </row>
    <row r="29" spans="1:27" ht="47.25" x14ac:dyDescent="0.25">
      <c r="A29" s="42">
        <v>5</v>
      </c>
      <c r="B29" s="47" t="s">
        <v>171</v>
      </c>
      <c r="C29" s="47" t="s">
        <v>98</v>
      </c>
      <c r="D29" s="47" t="s">
        <v>172</v>
      </c>
      <c r="E29" s="47" t="s">
        <v>98</v>
      </c>
      <c r="F29" s="42">
        <v>0.4</v>
      </c>
      <c r="G29" s="42" t="s">
        <v>98</v>
      </c>
      <c r="H29" s="42">
        <v>0.4</v>
      </c>
      <c r="I29" s="42" t="s">
        <v>98</v>
      </c>
      <c r="J29" s="42">
        <v>2015</v>
      </c>
      <c r="K29" s="42">
        <v>1</v>
      </c>
      <c r="L29" s="42" t="s">
        <v>98</v>
      </c>
      <c r="M29" s="43">
        <v>120</v>
      </c>
      <c r="N29" s="42" t="s">
        <v>98</v>
      </c>
      <c r="O29" s="42" t="s">
        <v>162</v>
      </c>
      <c r="P29" s="42" t="s">
        <v>98</v>
      </c>
      <c r="Q29" s="42">
        <v>0.03</v>
      </c>
      <c r="R29" s="42" t="s">
        <v>98</v>
      </c>
      <c r="S29" s="42" t="s">
        <v>98</v>
      </c>
      <c r="T29" s="42">
        <v>2013</v>
      </c>
      <c r="U29" s="42">
        <v>1</v>
      </c>
      <c r="V29" s="42" t="s">
        <v>159</v>
      </c>
      <c r="W29" s="42" t="s">
        <v>159</v>
      </c>
      <c r="X29" s="45" t="s">
        <v>165</v>
      </c>
      <c r="Y29" s="54" t="s">
        <v>166</v>
      </c>
      <c r="Z29" s="43" t="s">
        <v>167</v>
      </c>
      <c r="AA29" s="55" t="s">
        <v>168</v>
      </c>
    </row>
    <row r="30" spans="1:27" ht="47.25" x14ac:dyDescent="0.25">
      <c r="A30" s="42">
        <v>6</v>
      </c>
      <c r="B30" s="47" t="s">
        <v>98</v>
      </c>
      <c r="C30" s="47" t="s">
        <v>169</v>
      </c>
      <c r="D30" s="47" t="s">
        <v>98</v>
      </c>
      <c r="E30" s="47" t="s">
        <v>173</v>
      </c>
      <c r="F30" s="42" t="s">
        <v>98</v>
      </c>
      <c r="G30" s="42">
        <v>0.4</v>
      </c>
      <c r="H30" s="42" t="s">
        <v>98</v>
      </c>
      <c r="I30" s="42">
        <v>0.4</v>
      </c>
      <c r="J30" s="42">
        <v>2022</v>
      </c>
      <c r="K30" s="42" t="s">
        <v>98</v>
      </c>
      <c r="L30" s="42">
        <v>1</v>
      </c>
      <c r="M30" s="42" t="s">
        <v>98</v>
      </c>
      <c r="N30" s="42">
        <v>120</v>
      </c>
      <c r="O30" s="42" t="s">
        <v>98</v>
      </c>
      <c r="P30" s="42" t="s">
        <v>162</v>
      </c>
      <c r="Q30" s="42" t="s">
        <v>98</v>
      </c>
      <c r="R30" s="42">
        <v>0.26500000000000001</v>
      </c>
      <c r="S30" s="42" t="s">
        <v>98</v>
      </c>
      <c r="T30" s="42" t="s">
        <v>98</v>
      </c>
      <c r="U30" s="42" t="s">
        <v>98</v>
      </c>
      <c r="V30" s="42" t="s">
        <v>98</v>
      </c>
      <c r="W30" s="42" t="s">
        <v>159</v>
      </c>
      <c r="X30" s="42" t="s">
        <v>98</v>
      </c>
      <c r="Y30" s="43" t="s">
        <v>98</v>
      </c>
      <c r="Z30" s="42" t="s">
        <v>98</v>
      </c>
      <c r="AA30" s="42" t="s">
        <v>98</v>
      </c>
    </row>
    <row r="31" spans="1:27" ht="47.25" x14ac:dyDescent="0.25">
      <c r="A31" s="42">
        <v>7</v>
      </c>
      <c r="B31" s="47" t="s">
        <v>174</v>
      </c>
      <c r="C31" s="47" t="s">
        <v>98</v>
      </c>
      <c r="D31" s="47" t="s">
        <v>164</v>
      </c>
      <c r="E31" s="47" t="s">
        <v>98</v>
      </c>
      <c r="F31" s="42">
        <v>0.4</v>
      </c>
      <c r="G31" s="42" t="s">
        <v>98</v>
      </c>
      <c r="H31" s="42">
        <v>0.4</v>
      </c>
      <c r="I31" s="42" t="s">
        <v>98</v>
      </c>
      <c r="J31" s="42">
        <v>2015</v>
      </c>
      <c r="K31" s="42">
        <v>1</v>
      </c>
      <c r="L31" s="42" t="s">
        <v>98</v>
      </c>
      <c r="M31" s="43">
        <v>120</v>
      </c>
      <c r="N31" s="42" t="s">
        <v>98</v>
      </c>
      <c r="O31" s="42" t="s">
        <v>162</v>
      </c>
      <c r="P31" s="42" t="s">
        <v>98</v>
      </c>
      <c r="Q31" s="42">
        <v>0.03</v>
      </c>
      <c r="R31" s="42" t="s">
        <v>98</v>
      </c>
      <c r="S31" s="42" t="s">
        <v>98</v>
      </c>
      <c r="T31" s="42">
        <v>2013</v>
      </c>
      <c r="U31" s="42">
        <v>1</v>
      </c>
      <c r="V31" s="42" t="s">
        <v>159</v>
      </c>
      <c r="W31" s="42" t="s">
        <v>159</v>
      </c>
      <c r="X31" s="45" t="s">
        <v>165</v>
      </c>
      <c r="Y31" s="54" t="s">
        <v>166</v>
      </c>
      <c r="Z31" s="43" t="s">
        <v>167</v>
      </c>
      <c r="AA31" s="55" t="s">
        <v>168</v>
      </c>
    </row>
    <row r="32" spans="1:27" x14ac:dyDescent="0.25">
      <c r="Q32" s="58">
        <f>SUM(Q25:Q31)</f>
        <v>0.09</v>
      </c>
      <c r="R32" s="58">
        <f>SUM(R25:R31)</f>
        <v>0.97199999999999998</v>
      </c>
      <c r="S32" s="36">
        <f>R32-Q32</f>
        <v>0.88200000000000001</v>
      </c>
      <c r="X32" s="59"/>
      <c r="Y32" s="59"/>
      <c r="Z32" s="60"/>
      <c r="AA32" s="61"/>
    </row>
    <row r="33" spans="18:27" x14ac:dyDescent="0.25">
      <c r="R33" s="62"/>
      <c r="S33" s="37"/>
      <c r="AA33" s="61"/>
    </row>
    <row r="34" spans="18:27" x14ac:dyDescent="0.25">
      <c r="AA34" s="61"/>
    </row>
    <row r="35" spans="18:27" x14ac:dyDescent="0.25">
      <c r="AA35" s="61"/>
    </row>
    <row r="36" spans="18:27" x14ac:dyDescent="0.25">
      <c r="AA36" s="61"/>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34" t="str">
        <f>'1. паспорт местоположение'!A5:C5</f>
        <v>Год раскрытия информации: 2025 год</v>
      </c>
      <c r="B5" s="334"/>
      <c r="C5" s="334"/>
      <c r="D5" s="63"/>
      <c r="E5" s="63"/>
      <c r="F5" s="63"/>
      <c r="G5" s="63"/>
      <c r="H5" s="63"/>
      <c r="I5" s="63"/>
      <c r="J5" s="63"/>
      <c r="K5" s="63"/>
      <c r="L5" s="63"/>
      <c r="M5" s="63"/>
      <c r="N5" s="63"/>
      <c r="O5" s="63"/>
      <c r="P5" s="63"/>
      <c r="Q5" s="63"/>
      <c r="R5" s="63"/>
      <c r="S5" s="63"/>
      <c r="T5" s="63"/>
      <c r="U5" s="63"/>
      <c r="V5" s="63"/>
      <c r="W5" s="63"/>
      <c r="X5" s="63"/>
      <c r="Y5" s="63"/>
      <c r="Z5" s="63"/>
      <c r="AA5" s="63"/>
      <c r="AB5" s="63"/>
      <c r="AC5" s="63"/>
    </row>
    <row r="6" spans="1:29" s="2" customFormat="1" ht="18.75" x14ac:dyDescent="0.3">
      <c r="A6" s="6"/>
      <c r="G6" s="5"/>
    </row>
    <row r="7" spans="1:29" s="2" customFormat="1" ht="18.75" x14ac:dyDescent="0.2">
      <c r="A7" s="335" t="s">
        <v>4</v>
      </c>
      <c r="B7" s="335"/>
      <c r="C7" s="335"/>
      <c r="D7" s="10"/>
      <c r="E7" s="10"/>
      <c r="F7" s="10"/>
      <c r="G7" s="10"/>
      <c r="H7" s="10"/>
      <c r="I7" s="10"/>
      <c r="J7" s="10"/>
      <c r="K7" s="10"/>
      <c r="L7" s="10"/>
      <c r="M7" s="10"/>
      <c r="N7" s="10"/>
      <c r="O7" s="10"/>
      <c r="P7" s="10"/>
      <c r="Q7" s="10"/>
      <c r="R7" s="10"/>
      <c r="S7" s="10"/>
      <c r="T7" s="10"/>
      <c r="U7" s="10"/>
    </row>
    <row r="8" spans="1:29" s="2" customFormat="1" ht="18.75" x14ac:dyDescent="0.2">
      <c r="A8" s="335"/>
      <c r="B8" s="335"/>
      <c r="C8" s="335"/>
      <c r="D8" s="9"/>
      <c r="E8" s="9"/>
      <c r="F8" s="9"/>
      <c r="G8" s="9"/>
      <c r="H8" s="10"/>
      <c r="I8" s="10"/>
      <c r="J8" s="10"/>
      <c r="K8" s="10"/>
      <c r="L8" s="10"/>
      <c r="M8" s="10"/>
      <c r="N8" s="10"/>
      <c r="O8" s="10"/>
      <c r="P8" s="10"/>
      <c r="Q8" s="10"/>
      <c r="R8" s="10"/>
      <c r="S8" s="10"/>
      <c r="T8" s="10"/>
      <c r="U8" s="10"/>
    </row>
    <row r="9" spans="1:29" s="2" customFormat="1" ht="18.75" x14ac:dyDescent="0.2">
      <c r="A9" s="345" t="str">
        <f>'1. паспорт местоположение'!A9:C9</f>
        <v>Акционерное общество "Россети Янтарь" ДЗО  ПАО "Россети"</v>
      </c>
      <c r="B9" s="345"/>
      <c r="C9" s="345"/>
      <c r="D9" s="11"/>
      <c r="E9" s="11"/>
      <c r="F9" s="11"/>
      <c r="G9" s="11"/>
      <c r="H9" s="10"/>
      <c r="I9" s="10"/>
      <c r="J9" s="10"/>
      <c r="K9" s="10"/>
      <c r="L9" s="10"/>
      <c r="M9" s="10"/>
      <c r="N9" s="10"/>
      <c r="O9" s="10"/>
      <c r="P9" s="10"/>
      <c r="Q9" s="10"/>
      <c r="R9" s="10"/>
      <c r="S9" s="10"/>
      <c r="T9" s="10"/>
      <c r="U9" s="10"/>
    </row>
    <row r="10" spans="1:29" s="2" customFormat="1" ht="18.75" x14ac:dyDescent="0.2">
      <c r="A10" s="337" t="s">
        <v>6</v>
      </c>
      <c r="B10" s="337"/>
      <c r="C10" s="337"/>
      <c r="D10" s="12"/>
      <c r="E10" s="12"/>
      <c r="F10" s="12"/>
      <c r="G10" s="12"/>
      <c r="H10" s="10"/>
      <c r="I10" s="10"/>
      <c r="J10" s="10"/>
      <c r="K10" s="10"/>
      <c r="L10" s="10"/>
      <c r="M10" s="10"/>
      <c r="N10" s="10"/>
      <c r="O10" s="10"/>
      <c r="P10" s="10"/>
      <c r="Q10" s="10"/>
      <c r="R10" s="10"/>
      <c r="S10" s="10"/>
      <c r="T10" s="10"/>
      <c r="U10" s="10"/>
    </row>
    <row r="11" spans="1:29" s="2" customFormat="1" ht="18.75" x14ac:dyDescent="0.2">
      <c r="A11" s="335"/>
      <c r="B11" s="335"/>
      <c r="C11" s="335"/>
      <c r="D11" s="9"/>
      <c r="E11" s="9"/>
      <c r="F11" s="9"/>
      <c r="G11" s="9"/>
      <c r="H11" s="10"/>
      <c r="I11" s="10"/>
      <c r="J11" s="10"/>
      <c r="K11" s="10"/>
      <c r="L11" s="10"/>
      <c r="M11" s="10"/>
      <c r="N11" s="10"/>
      <c r="O11" s="10"/>
      <c r="P11" s="10"/>
      <c r="Q11" s="10"/>
      <c r="R11" s="10"/>
      <c r="S11" s="10"/>
      <c r="T11" s="10"/>
      <c r="U11" s="10"/>
    </row>
    <row r="12" spans="1:29" s="2" customFormat="1" ht="18.75" x14ac:dyDescent="0.2">
      <c r="A12" s="345" t="str">
        <f>'1. паспорт местоположение'!A12:C12</f>
        <v>N_22-1313</v>
      </c>
      <c r="B12" s="345"/>
      <c r="C12" s="345"/>
      <c r="D12" s="11"/>
      <c r="E12" s="11"/>
      <c r="F12" s="11"/>
      <c r="G12" s="11"/>
      <c r="H12" s="10"/>
      <c r="I12" s="10"/>
      <c r="J12" s="10"/>
      <c r="K12" s="10"/>
      <c r="L12" s="10"/>
      <c r="M12" s="10"/>
      <c r="N12" s="10"/>
      <c r="O12" s="10"/>
      <c r="P12" s="10"/>
      <c r="Q12" s="10"/>
      <c r="R12" s="10"/>
      <c r="S12" s="10"/>
      <c r="T12" s="10"/>
      <c r="U12" s="10"/>
    </row>
    <row r="13" spans="1:29" s="2" customFormat="1" ht="18.75" x14ac:dyDescent="0.2">
      <c r="A13" s="337" t="s">
        <v>8</v>
      </c>
      <c r="B13" s="337"/>
      <c r="C13" s="337"/>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46"/>
      <c r="B14" s="346"/>
      <c r="C14" s="346"/>
      <c r="D14" s="13"/>
      <c r="E14" s="13"/>
      <c r="F14" s="13"/>
      <c r="G14" s="13"/>
      <c r="H14" s="13"/>
      <c r="I14" s="13"/>
      <c r="J14" s="13"/>
      <c r="K14" s="13"/>
      <c r="L14" s="13"/>
      <c r="M14" s="13"/>
      <c r="N14" s="13"/>
      <c r="O14" s="13"/>
      <c r="P14" s="13"/>
      <c r="Q14" s="13"/>
      <c r="R14" s="13"/>
      <c r="S14" s="13"/>
      <c r="T14" s="13"/>
      <c r="U14" s="13"/>
    </row>
    <row r="15" spans="1:29" s="14" customFormat="1" ht="42" customHeight="1" x14ac:dyDescent="0.2">
      <c r="A15" s="35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55"/>
      <c r="C15" s="355"/>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37" t="s">
        <v>10</v>
      </c>
      <c r="B16" s="337"/>
      <c r="C16" s="337"/>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46"/>
      <c r="B17" s="346"/>
      <c r="C17" s="346"/>
      <c r="D17" s="13"/>
      <c r="E17" s="13"/>
      <c r="F17" s="13"/>
      <c r="G17" s="13"/>
      <c r="H17" s="13"/>
      <c r="I17" s="13"/>
      <c r="J17" s="13"/>
      <c r="K17" s="13"/>
      <c r="L17" s="13"/>
      <c r="M17" s="13"/>
      <c r="N17" s="13"/>
      <c r="O17" s="13"/>
      <c r="P17" s="13"/>
      <c r="Q17" s="13"/>
      <c r="R17" s="13"/>
    </row>
    <row r="18" spans="1:21" s="14" customFormat="1" ht="27.75" customHeight="1" x14ac:dyDescent="0.2">
      <c r="A18" s="343" t="s">
        <v>175</v>
      </c>
      <c r="B18" s="343"/>
      <c r="C18" s="343"/>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3" t="s">
        <v>15</v>
      </c>
      <c r="B22" s="64" t="s">
        <v>176</v>
      </c>
      <c r="C22" s="65" t="s">
        <v>177</v>
      </c>
      <c r="D22" s="12"/>
      <c r="E22" s="12"/>
      <c r="F22" s="13"/>
      <c r="G22" s="13"/>
      <c r="H22" s="13"/>
      <c r="I22" s="13"/>
      <c r="J22" s="13"/>
      <c r="K22" s="13"/>
      <c r="L22" s="13"/>
      <c r="M22" s="13"/>
      <c r="N22" s="13"/>
      <c r="O22" s="13"/>
      <c r="P22" s="13"/>
    </row>
    <row r="23" spans="1:21" ht="78.75" x14ac:dyDescent="0.25">
      <c r="A23" s="23" t="s">
        <v>18</v>
      </c>
      <c r="B23" s="66" t="s">
        <v>178</v>
      </c>
      <c r="C23" s="16" t="s">
        <v>179</v>
      </c>
    </row>
    <row r="24" spans="1:21" ht="83.25" customHeight="1" x14ac:dyDescent="0.25">
      <c r="A24" s="23" t="s">
        <v>21</v>
      </c>
      <c r="B24" s="66" t="s">
        <v>180</v>
      </c>
      <c r="C24" s="67" t="s">
        <v>9</v>
      </c>
    </row>
    <row r="25" spans="1:21" ht="63" customHeight="1" x14ac:dyDescent="0.25">
      <c r="A25" s="23" t="s">
        <v>24</v>
      </c>
      <c r="B25" s="66" t="s">
        <v>181</v>
      </c>
      <c r="C25" s="16" t="s">
        <v>182</v>
      </c>
    </row>
    <row r="26" spans="1:21" ht="42.75" customHeight="1" x14ac:dyDescent="0.25">
      <c r="A26" s="23" t="s">
        <v>27</v>
      </c>
      <c r="B26" s="66" t="s">
        <v>183</v>
      </c>
      <c r="C26" s="16" t="s">
        <v>61</v>
      </c>
    </row>
    <row r="27" spans="1:21" ht="267.75" x14ac:dyDescent="0.25">
      <c r="A27" s="23" t="s">
        <v>30</v>
      </c>
      <c r="B27" s="66" t="s">
        <v>184</v>
      </c>
      <c r="C27" s="16" t="s">
        <v>185</v>
      </c>
    </row>
    <row r="28" spans="1:21" ht="42.75" customHeight="1" x14ac:dyDescent="0.25">
      <c r="A28" s="23" t="s">
        <v>33</v>
      </c>
      <c r="B28" s="66" t="s">
        <v>186</v>
      </c>
      <c r="C28" s="20">
        <v>2025</v>
      </c>
    </row>
    <row r="29" spans="1:21" ht="42.75" customHeight="1" x14ac:dyDescent="0.25">
      <c r="A29" s="23" t="s">
        <v>35</v>
      </c>
      <c r="B29" s="16" t="s">
        <v>187</v>
      </c>
      <c r="C29" s="20">
        <v>2026</v>
      </c>
    </row>
    <row r="30" spans="1:21" ht="42.75" customHeight="1" x14ac:dyDescent="0.25">
      <c r="A30" s="23" t="s">
        <v>37</v>
      </c>
      <c r="B30" s="16" t="s">
        <v>188</v>
      </c>
      <c r="C30" s="16" t="s">
        <v>189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workbookViewId="0">
      <selection activeCell="M26" sqref="M26"/>
    </sheetView>
  </sheetViews>
  <sheetFormatPr defaultRowHeight="15" x14ac:dyDescent="0.25"/>
  <cols>
    <col min="1" max="1" width="17.7109375" style="68" customWidth="1"/>
    <col min="2" max="2" width="30.140625" style="68" customWidth="1"/>
    <col min="3" max="3" width="12.28515625" style="68" customWidth="1"/>
    <col min="4" max="5" width="15" style="68" customWidth="1"/>
    <col min="6" max="7" width="13.28515625" style="68" customWidth="1"/>
    <col min="8" max="8" width="12.28515625" style="68" customWidth="1"/>
    <col min="9" max="9" width="17.85546875" style="68" customWidth="1"/>
    <col min="10" max="10" width="16.7109375" style="68" customWidth="1"/>
    <col min="11" max="11" width="24.5703125" style="68" customWidth="1"/>
    <col min="12" max="12" width="30.85546875" style="68" customWidth="1"/>
    <col min="13" max="13" width="27.140625" style="68" customWidth="1"/>
    <col min="14" max="14" width="32.42578125" style="68" customWidth="1"/>
    <col min="15" max="15" width="13.28515625" style="68" customWidth="1"/>
    <col min="16" max="16" width="8.7109375" style="68" customWidth="1"/>
    <col min="17" max="17" width="12.7109375" style="68" customWidth="1"/>
    <col min="18" max="18" width="9.140625" style="68"/>
    <col min="19" max="19" width="17" style="68" customWidth="1"/>
    <col min="20" max="21" width="12" style="68" customWidth="1"/>
    <col min="22" max="22" width="11" style="68" customWidth="1"/>
    <col min="23" max="25" width="17.7109375" style="68" customWidth="1"/>
    <col min="26" max="26" width="46.5703125" style="68" customWidth="1"/>
    <col min="27" max="28" width="12.28515625" style="68" customWidth="1"/>
    <col min="29" max="16384" width="9.140625" style="68"/>
  </cols>
  <sheetData>
    <row r="1" spans="1:28" ht="18.75" x14ac:dyDescent="0.25">
      <c r="Z1" s="4" t="s">
        <v>0</v>
      </c>
    </row>
    <row r="2" spans="1:28" ht="18.75" x14ac:dyDescent="0.3">
      <c r="Z2" s="5" t="s">
        <v>1</v>
      </c>
    </row>
    <row r="3" spans="1:28" ht="18.75" x14ac:dyDescent="0.3">
      <c r="Z3" s="5" t="s">
        <v>141</v>
      </c>
    </row>
    <row r="4" spans="1:28" ht="18.75" customHeight="1" x14ac:dyDescent="0.25">
      <c r="A4" s="334" t="str">
        <f>'1. паспорт местоположение'!A5:C5</f>
        <v>Год раскрытия информации: 2025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row>
    <row r="6" spans="1:28" ht="18.75" x14ac:dyDescent="0.25">
      <c r="A6" s="369" t="s">
        <v>4</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69"/>
      <c r="AB6" s="6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69"/>
      <c r="AB7" s="69"/>
    </row>
    <row r="8" spans="1:28" x14ac:dyDescent="0.25">
      <c r="A8" s="370" t="str">
        <f>'1. паспорт местоположение'!A9</f>
        <v>Акционерное общество "Россети Янтарь" ДЗО  ПАО "Россети"</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70"/>
      <c r="AB8" s="70"/>
    </row>
    <row r="9" spans="1:28" ht="15.75"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71"/>
      <c r="AB9" s="71"/>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69"/>
      <c r="AB10" s="69"/>
    </row>
    <row r="11" spans="1:28" x14ac:dyDescent="0.25">
      <c r="A11" s="370" t="str">
        <f>'1. паспорт местоположение'!A12:C12</f>
        <v>N_22-1313</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70"/>
      <c r="AB11" s="70"/>
    </row>
    <row r="12" spans="1:28" ht="15.75" x14ac:dyDescent="0.25">
      <c r="A12" s="371" t="s">
        <v>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71"/>
      <c r="AB12" s="71"/>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72"/>
      <c r="AB13" s="72"/>
    </row>
    <row r="14" spans="1:28" x14ac:dyDescent="0.25">
      <c r="A14" s="370"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70"/>
      <c r="AB14" s="70"/>
    </row>
    <row r="15" spans="1:28" ht="15.75" x14ac:dyDescent="0.25">
      <c r="A15" s="371" t="s">
        <v>10</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71"/>
      <c r="AB15" s="71"/>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73"/>
      <c r="AB16" s="73"/>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73"/>
      <c r="AB17" s="73"/>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73"/>
      <c r="AB18" s="73"/>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73"/>
      <c r="AB19" s="73"/>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73"/>
      <c r="AB20" s="73"/>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73"/>
      <c r="AB21" s="73"/>
    </row>
    <row r="22" spans="1:28" x14ac:dyDescent="0.25">
      <c r="A22" s="374" t="s">
        <v>190</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74"/>
      <c r="AB22" s="74"/>
    </row>
    <row r="23" spans="1:28" ht="32.25" customHeight="1" x14ac:dyDescent="0.25">
      <c r="A23" s="375" t="s">
        <v>191</v>
      </c>
      <c r="B23" s="376"/>
      <c r="C23" s="376"/>
      <c r="D23" s="376"/>
      <c r="E23" s="376"/>
      <c r="F23" s="376"/>
      <c r="G23" s="376"/>
      <c r="H23" s="376"/>
      <c r="I23" s="376"/>
      <c r="J23" s="376"/>
      <c r="K23" s="376"/>
      <c r="L23" s="377"/>
      <c r="M23" s="378" t="s">
        <v>192</v>
      </c>
      <c r="N23" s="378"/>
      <c r="O23" s="378"/>
      <c r="P23" s="378"/>
      <c r="Q23" s="378"/>
      <c r="R23" s="378"/>
      <c r="S23" s="378"/>
      <c r="T23" s="378"/>
      <c r="U23" s="378"/>
      <c r="V23" s="378"/>
      <c r="W23" s="378"/>
      <c r="X23" s="378"/>
      <c r="Y23" s="378"/>
      <c r="Z23" s="378"/>
    </row>
    <row r="24" spans="1:28" ht="151.5" customHeight="1" x14ac:dyDescent="0.25">
      <c r="A24" s="75" t="s">
        <v>193</v>
      </c>
      <c r="B24" s="76" t="s">
        <v>194</v>
      </c>
      <c r="C24" s="75" t="s">
        <v>195</v>
      </c>
      <c r="D24" s="75" t="s">
        <v>196</v>
      </c>
      <c r="E24" s="75" t="s">
        <v>197</v>
      </c>
      <c r="F24" s="75" t="s">
        <v>198</v>
      </c>
      <c r="G24" s="75" t="s">
        <v>199</v>
      </c>
      <c r="H24" s="75" t="s">
        <v>200</v>
      </c>
      <c r="I24" s="75" t="s">
        <v>201</v>
      </c>
      <c r="J24" s="75" t="s">
        <v>202</v>
      </c>
      <c r="K24" s="76" t="s">
        <v>203</v>
      </c>
      <c r="L24" s="76" t="s">
        <v>204</v>
      </c>
      <c r="M24" s="77" t="s">
        <v>205</v>
      </c>
      <c r="N24" s="76" t="s">
        <v>206</v>
      </c>
      <c r="O24" s="75" t="s">
        <v>207</v>
      </c>
      <c r="P24" s="75" t="s">
        <v>208</v>
      </c>
      <c r="Q24" s="75" t="s">
        <v>209</v>
      </c>
      <c r="R24" s="75" t="s">
        <v>200</v>
      </c>
      <c r="S24" s="75" t="s">
        <v>210</v>
      </c>
      <c r="T24" s="75" t="s">
        <v>211</v>
      </c>
      <c r="U24" s="75" t="s">
        <v>212</v>
      </c>
      <c r="V24" s="75" t="s">
        <v>209</v>
      </c>
      <c r="W24" s="78" t="s">
        <v>213</v>
      </c>
      <c r="X24" s="78" t="s">
        <v>214</v>
      </c>
      <c r="Y24" s="78" t="s">
        <v>215</v>
      </c>
      <c r="Z24" s="79" t="s">
        <v>216</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127.5" x14ac:dyDescent="0.25">
      <c r="A26" s="80" t="s">
        <v>217</v>
      </c>
      <c r="B26" s="80"/>
      <c r="C26" s="81" t="s">
        <v>218</v>
      </c>
      <c r="D26" s="81" t="s">
        <v>219</v>
      </c>
      <c r="E26" s="81" t="s">
        <v>220</v>
      </c>
      <c r="F26" s="81" t="s">
        <v>221</v>
      </c>
      <c r="G26" s="81" t="s">
        <v>222</v>
      </c>
      <c r="H26" s="81" t="s">
        <v>200</v>
      </c>
      <c r="I26" s="81" t="s">
        <v>223</v>
      </c>
      <c r="J26" s="81" t="s">
        <v>224</v>
      </c>
      <c r="K26" s="82"/>
      <c r="L26" s="81" t="s">
        <v>225</v>
      </c>
      <c r="M26" s="83">
        <v>2026</v>
      </c>
      <c r="N26" s="82"/>
      <c r="O26" s="82">
        <v>0</v>
      </c>
      <c r="P26" s="82">
        <v>0</v>
      </c>
      <c r="Q26" s="82">
        <v>0</v>
      </c>
      <c r="R26" s="82">
        <v>99264</v>
      </c>
      <c r="S26" s="82">
        <v>0</v>
      </c>
      <c r="T26" s="82">
        <v>0</v>
      </c>
      <c r="U26" s="82">
        <v>0</v>
      </c>
      <c r="V26" s="82">
        <v>0</v>
      </c>
      <c r="W26" s="82">
        <v>0</v>
      </c>
      <c r="X26" s="82">
        <v>0</v>
      </c>
      <c r="Y26" s="84" t="s">
        <v>226</v>
      </c>
      <c r="Z26" s="85" t="s">
        <v>227</v>
      </c>
    </row>
    <row r="27" spans="1:28" x14ac:dyDescent="0.25">
      <c r="A27" s="82">
        <v>2017</v>
      </c>
      <c r="B27" s="82" t="s">
        <v>228</v>
      </c>
      <c r="C27" s="82">
        <v>0</v>
      </c>
      <c r="D27" s="82">
        <v>0</v>
      </c>
      <c r="E27" s="82">
        <v>0</v>
      </c>
      <c r="F27" s="81">
        <v>0</v>
      </c>
      <c r="G27" s="81">
        <v>0</v>
      </c>
      <c r="H27" s="82">
        <v>99264</v>
      </c>
      <c r="I27" s="82">
        <v>0</v>
      </c>
      <c r="J27" s="82">
        <v>0</v>
      </c>
      <c r="K27" s="81"/>
      <c r="L27" s="82"/>
      <c r="M27" s="81"/>
      <c r="N27" s="82"/>
      <c r="O27" s="82"/>
      <c r="P27" s="82"/>
      <c r="Q27" s="82"/>
      <c r="R27" s="82"/>
      <c r="S27" s="82"/>
      <c r="T27" s="82"/>
      <c r="U27" s="82"/>
      <c r="V27" s="82"/>
      <c r="W27" s="82"/>
      <c r="X27" s="82"/>
      <c r="Y27" s="82"/>
      <c r="Z27" s="82"/>
    </row>
    <row r="28" spans="1:28" ht="30" x14ac:dyDescent="0.25">
      <c r="A28" s="80" t="s">
        <v>229</v>
      </c>
      <c r="B28" s="80"/>
      <c r="C28" s="81" t="s">
        <v>230</v>
      </c>
      <c r="D28" s="81" t="s">
        <v>231</v>
      </c>
      <c r="E28" s="81" t="s">
        <v>232</v>
      </c>
      <c r="F28" s="81" t="s">
        <v>233</v>
      </c>
      <c r="G28" s="81" t="s">
        <v>234</v>
      </c>
      <c r="H28" s="81" t="s">
        <v>200</v>
      </c>
      <c r="I28" s="81" t="s">
        <v>235</v>
      </c>
      <c r="J28" s="81" t="s">
        <v>236</v>
      </c>
      <c r="K28" s="82"/>
      <c r="L28" s="82"/>
      <c r="M28" s="82"/>
      <c r="N28" s="82"/>
      <c r="O28" s="82"/>
      <c r="P28" s="82"/>
      <c r="Q28" s="82"/>
      <c r="R28" s="82"/>
      <c r="S28" s="82"/>
      <c r="T28" s="82"/>
      <c r="U28" s="82"/>
      <c r="V28" s="82"/>
      <c r="W28" s="82"/>
      <c r="X28" s="82"/>
      <c r="Y28" s="82"/>
      <c r="Z28" s="82"/>
    </row>
    <row r="29" spans="1:28" x14ac:dyDescent="0.25">
      <c r="A29" s="82">
        <v>2016</v>
      </c>
      <c r="B29" s="82" t="s">
        <v>228</v>
      </c>
      <c r="C29" s="82">
        <v>0</v>
      </c>
      <c r="D29" s="82">
        <v>0</v>
      </c>
      <c r="E29" s="82">
        <v>0</v>
      </c>
      <c r="F29" s="82">
        <v>0</v>
      </c>
      <c r="G29" s="82">
        <v>0</v>
      </c>
      <c r="H29" s="82">
        <v>85140</v>
      </c>
      <c r="I29" s="82">
        <v>0</v>
      </c>
      <c r="J29" s="82">
        <v>0</v>
      </c>
      <c r="K29" s="82"/>
      <c r="L29" s="82"/>
      <c r="M29" s="82"/>
      <c r="N29" s="82"/>
      <c r="O29" s="82"/>
      <c r="P29" s="82"/>
      <c r="Q29" s="82"/>
      <c r="R29" s="82"/>
      <c r="S29" s="82"/>
      <c r="T29" s="82"/>
      <c r="U29" s="82"/>
      <c r="V29" s="82"/>
      <c r="W29" s="82"/>
      <c r="X29" s="82"/>
      <c r="Y29" s="82"/>
      <c r="Z29" s="82"/>
    </row>
    <row r="33" spans="1:1" x14ac:dyDescent="0.25">
      <c r="A33" s="86"/>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141</v>
      </c>
    </row>
    <row r="4" spans="1:28" s="2" customFormat="1" ht="18.75" x14ac:dyDescent="0.3">
      <c r="A4" s="6"/>
      <c r="B4" s="6"/>
      <c r="L4" s="5"/>
    </row>
    <row r="5" spans="1:28" s="2" customFormat="1" ht="15.75" x14ac:dyDescent="0.2">
      <c r="A5" s="334" t="str">
        <f>'1. паспорт местоположение'!A5:C5</f>
        <v>Год раскрытия информации: 2025 год</v>
      </c>
      <c r="B5" s="334"/>
      <c r="C5" s="334"/>
      <c r="D5" s="334"/>
      <c r="E5" s="334"/>
      <c r="F5" s="334"/>
      <c r="G5" s="334"/>
      <c r="H5" s="334"/>
      <c r="I5" s="334"/>
      <c r="J5" s="334"/>
      <c r="K5" s="334"/>
      <c r="L5" s="334"/>
      <c r="M5" s="334"/>
      <c r="N5" s="334"/>
      <c r="O5" s="334"/>
      <c r="P5" s="63"/>
      <c r="Q5" s="63"/>
      <c r="R5" s="63"/>
      <c r="S5" s="63"/>
      <c r="T5" s="63"/>
      <c r="U5" s="63"/>
      <c r="V5" s="63"/>
      <c r="W5" s="63"/>
      <c r="X5" s="63"/>
      <c r="Y5" s="63"/>
      <c r="Z5" s="63"/>
      <c r="AA5" s="63"/>
      <c r="AB5" s="63"/>
    </row>
    <row r="6" spans="1:28" s="2" customFormat="1" ht="18.75" x14ac:dyDescent="0.3">
      <c r="A6" s="6"/>
      <c r="B6" s="6"/>
      <c r="L6" s="5"/>
    </row>
    <row r="7" spans="1:28" s="2" customFormat="1" ht="18.75" x14ac:dyDescent="0.2">
      <c r="A7" s="335" t="s">
        <v>4</v>
      </c>
      <c r="B7" s="335"/>
      <c r="C7" s="335"/>
      <c r="D7" s="335"/>
      <c r="E7" s="335"/>
      <c r="F7" s="335"/>
      <c r="G7" s="335"/>
      <c r="H7" s="335"/>
      <c r="I7" s="335"/>
      <c r="J7" s="335"/>
      <c r="K7" s="335"/>
      <c r="L7" s="335"/>
      <c r="M7" s="335"/>
      <c r="N7" s="335"/>
      <c r="O7" s="335"/>
      <c r="P7" s="10"/>
      <c r="Q7" s="10"/>
      <c r="R7" s="10"/>
      <c r="S7" s="10"/>
      <c r="T7" s="10"/>
      <c r="U7" s="10"/>
      <c r="V7" s="10"/>
      <c r="W7" s="10"/>
      <c r="X7" s="10"/>
      <c r="Y7" s="10"/>
      <c r="Z7" s="10"/>
    </row>
    <row r="8" spans="1:28" s="2" customFormat="1" ht="18.75" x14ac:dyDescent="0.2">
      <c r="A8" s="335"/>
      <c r="B8" s="335"/>
      <c r="C8" s="335"/>
      <c r="D8" s="335"/>
      <c r="E8" s="335"/>
      <c r="F8" s="335"/>
      <c r="G8" s="335"/>
      <c r="H8" s="335"/>
      <c r="I8" s="335"/>
      <c r="J8" s="335"/>
      <c r="K8" s="335"/>
      <c r="L8" s="335"/>
      <c r="M8" s="335"/>
      <c r="N8" s="335"/>
      <c r="O8" s="335"/>
      <c r="P8" s="10"/>
      <c r="Q8" s="10"/>
      <c r="R8" s="10"/>
      <c r="S8" s="10"/>
      <c r="T8" s="10"/>
      <c r="U8" s="10"/>
      <c r="V8" s="10"/>
      <c r="W8" s="10"/>
      <c r="X8" s="10"/>
      <c r="Y8" s="10"/>
      <c r="Z8" s="10"/>
    </row>
    <row r="9" spans="1:28" s="2" customFormat="1" ht="18.75" x14ac:dyDescent="0.2">
      <c r="A9" s="345" t="str">
        <f>'1. паспорт местоположение'!A9:C9</f>
        <v>Акционерное общество "Россети Янтарь" ДЗО  ПАО "Россети"</v>
      </c>
      <c r="B9" s="345"/>
      <c r="C9" s="345"/>
      <c r="D9" s="345"/>
      <c r="E9" s="345"/>
      <c r="F9" s="345"/>
      <c r="G9" s="345"/>
      <c r="H9" s="345"/>
      <c r="I9" s="345"/>
      <c r="J9" s="345"/>
      <c r="K9" s="345"/>
      <c r="L9" s="345"/>
      <c r="M9" s="345"/>
      <c r="N9" s="345"/>
      <c r="O9" s="345"/>
      <c r="P9" s="10"/>
      <c r="Q9" s="10"/>
      <c r="R9" s="10"/>
      <c r="S9" s="10"/>
      <c r="T9" s="10"/>
      <c r="U9" s="10"/>
      <c r="V9" s="10"/>
      <c r="W9" s="10"/>
      <c r="X9" s="10"/>
      <c r="Y9" s="10"/>
      <c r="Z9" s="10"/>
    </row>
    <row r="10" spans="1:28" s="2" customFormat="1" ht="18.75" x14ac:dyDescent="0.2">
      <c r="A10" s="337" t="s">
        <v>6</v>
      </c>
      <c r="B10" s="337"/>
      <c r="C10" s="337"/>
      <c r="D10" s="337"/>
      <c r="E10" s="337"/>
      <c r="F10" s="337"/>
      <c r="G10" s="337"/>
      <c r="H10" s="337"/>
      <c r="I10" s="337"/>
      <c r="J10" s="337"/>
      <c r="K10" s="337"/>
      <c r="L10" s="337"/>
      <c r="M10" s="337"/>
      <c r="N10" s="337"/>
      <c r="O10" s="337"/>
      <c r="P10" s="10"/>
      <c r="Q10" s="10"/>
      <c r="R10" s="10"/>
      <c r="S10" s="10"/>
      <c r="T10" s="10"/>
      <c r="U10" s="10"/>
      <c r="V10" s="10"/>
      <c r="W10" s="10"/>
      <c r="X10" s="10"/>
      <c r="Y10" s="10"/>
      <c r="Z10" s="10"/>
    </row>
    <row r="11" spans="1:28" s="2" customFormat="1" ht="18.75" x14ac:dyDescent="0.2">
      <c r="A11" s="335"/>
      <c r="B11" s="335"/>
      <c r="C11" s="335"/>
      <c r="D11" s="335"/>
      <c r="E11" s="335"/>
      <c r="F11" s="335"/>
      <c r="G11" s="335"/>
      <c r="H11" s="335"/>
      <c r="I11" s="335"/>
      <c r="J11" s="335"/>
      <c r="K11" s="335"/>
      <c r="L11" s="335"/>
      <c r="M11" s="335"/>
      <c r="N11" s="335"/>
      <c r="O11" s="335"/>
      <c r="P11" s="10"/>
      <c r="Q11" s="10"/>
      <c r="R11" s="10"/>
      <c r="S11" s="10"/>
      <c r="T11" s="10"/>
      <c r="U11" s="10"/>
      <c r="V11" s="10"/>
      <c r="W11" s="10"/>
      <c r="X11" s="10"/>
      <c r="Y11" s="10"/>
      <c r="Z11" s="10"/>
    </row>
    <row r="12" spans="1:28" s="2" customFormat="1" ht="18.75" x14ac:dyDescent="0.2">
      <c r="A12" s="345" t="str">
        <f>'1. паспорт местоположение'!A12:C12</f>
        <v>N_22-1313</v>
      </c>
      <c r="B12" s="345"/>
      <c r="C12" s="345"/>
      <c r="D12" s="345"/>
      <c r="E12" s="345"/>
      <c r="F12" s="345"/>
      <c r="G12" s="345"/>
      <c r="H12" s="345"/>
      <c r="I12" s="345"/>
      <c r="J12" s="345"/>
      <c r="K12" s="345"/>
      <c r="L12" s="345"/>
      <c r="M12" s="345"/>
      <c r="N12" s="345"/>
      <c r="O12" s="345"/>
      <c r="P12" s="10"/>
      <c r="Q12" s="10"/>
      <c r="R12" s="10"/>
      <c r="S12" s="10"/>
      <c r="T12" s="10"/>
      <c r="U12" s="10"/>
      <c r="V12" s="10"/>
      <c r="W12" s="10"/>
      <c r="X12" s="10"/>
      <c r="Y12" s="10"/>
      <c r="Z12" s="10"/>
    </row>
    <row r="13" spans="1:28" s="2" customFormat="1" ht="18.75" x14ac:dyDescent="0.2">
      <c r="A13" s="337" t="s">
        <v>8</v>
      </c>
      <c r="B13" s="337"/>
      <c r="C13" s="337"/>
      <c r="D13" s="337"/>
      <c r="E13" s="337"/>
      <c r="F13" s="337"/>
      <c r="G13" s="337"/>
      <c r="H13" s="337"/>
      <c r="I13" s="337"/>
      <c r="J13" s="337"/>
      <c r="K13" s="337"/>
      <c r="L13" s="337"/>
      <c r="M13" s="337"/>
      <c r="N13" s="337"/>
      <c r="O13" s="337"/>
      <c r="P13" s="10"/>
      <c r="Q13" s="10"/>
      <c r="R13" s="10"/>
      <c r="S13" s="10"/>
      <c r="T13" s="10"/>
      <c r="U13" s="10"/>
      <c r="V13" s="10"/>
      <c r="W13" s="10"/>
      <c r="X13" s="10"/>
      <c r="Y13" s="10"/>
      <c r="Z13" s="10"/>
    </row>
    <row r="14" spans="1:28" s="2" customFormat="1" ht="15.75" customHeight="1" x14ac:dyDescent="0.2">
      <c r="A14" s="346"/>
      <c r="B14" s="346"/>
      <c r="C14" s="346"/>
      <c r="D14" s="346"/>
      <c r="E14" s="346"/>
      <c r="F14" s="346"/>
      <c r="G14" s="346"/>
      <c r="H14" s="346"/>
      <c r="I14" s="346"/>
      <c r="J14" s="346"/>
      <c r="K14" s="346"/>
      <c r="L14" s="346"/>
      <c r="M14" s="346"/>
      <c r="N14" s="346"/>
      <c r="O14" s="346"/>
      <c r="P14" s="13"/>
      <c r="Q14" s="13"/>
      <c r="R14" s="13"/>
      <c r="S14" s="13"/>
      <c r="T14" s="13"/>
      <c r="U14" s="13"/>
      <c r="V14" s="13"/>
      <c r="W14" s="13"/>
      <c r="X14" s="13"/>
      <c r="Y14" s="13"/>
      <c r="Z14" s="13"/>
    </row>
    <row r="15" spans="1:28" s="14" customFormat="1" ht="12" x14ac:dyDescent="0.2">
      <c r="A15" s="345" t="str">
        <f>'1. паспорт местоположение'!A15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45"/>
      <c r="C15" s="345"/>
      <c r="D15" s="345"/>
      <c r="E15" s="345"/>
      <c r="F15" s="345"/>
      <c r="G15" s="345"/>
      <c r="H15" s="345"/>
      <c r="I15" s="345"/>
      <c r="J15" s="345"/>
      <c r="K15" s="345"/>
      <c r="L15" s="345"/>
      <c r="M15" s="345"/>
      <c r="N15" s="345"/>
      <c r="O15" s="345"/>
      <c r="P15" s="11"/>
      <c r="Q15" s="11"/>
      <c r="R15" s="11"/>
      <c r="S15" s="11"/>
      <c r="T15" s="11"/>
      <c r="U15" s="11"/>
      <c r="V15" s="11"/>
      <c r="W15" s="11"/>
      <c r="X15" s="11"/>
      <c r="Y15" s="11"/>
      <c r="Z15" s="11"/>
    </row>
    <row r="16" spans="1:28" s="14" customFormat="1" ht="15" customHeight="1" x14ac:dyDescent="0.2">
      <c r="A16" s="337" t="s">
        <v>10</v>
      </c>
      <c r="B16" s="337"/>
      <c r="C16" s="337"/>
      <c r="D16" s="337"/>
      <c r="E16" s="337"/>
      <c r="F16" s="337"/>
      <c r="G16" s="337"/>
      <c r="H16" s="337"/>
      <c r="I16" s="337"/>
      <c r="J16" s="337"/>
      <c r="K16" s="337"/>
      <c r="L16" s="337"/>
      <c r="M16" s="337"/>
      <c r="N16" s="337"/>
      <c r="O16" s="337"/>
      <c r="P16" s="12"/>
      <c r="Q16" s="12"/>
      <c r="R16" s="12"/>
      <c r="S16" s="12"/>
      <c r="T16" s="12"/>
      <c r="U16" s="12"/>
      <c r="V16" s="12"/>
      <c r="W16" s="12"/>
      <c r="X16" s="12"/>
      <c r="Y16" s="12"/>
      <c r="Z16" s="12"/>
    </row>
    <row r="17" spans="1:26" s="14" customFormat="1" ht="15" customHeight="1" x14ac:dyDescent="0.2">
      <c r="A17" s="346"/>
      <c r="B17" s="346"/>
      <c r="C17" s="346"/>
      <c r="D17" s="346"/>
      <c r="E17" s="346"/>
      <c r="F17" s="346"/>
      <c r="G17" s="346"/>
      <c r="H17" s="346"/>
      <c r="I17" s="346"/>
      <c r="J17" s="346"/>
      <c r="K17" s="346"/>
      <c r="L17" s="346"/>
      <c r="M17" s="346"/>
      <c r="N17" s="346"/>
      <c r="O17" s="346"/>
      <c r="P17" s="13"/>
      <c r="Q17" s="13"/>
      <c r="R17" s="13"/>
      <c r="S17" s="13"/>
      <c r="T17" s="13"/>
      <c r="U17" s="13"/>
      <c r="V17" s="13"/>
      <c r="W17" s="13"/>
    </row>
    <row r="18" spans="1:26" s="14" customFormat="1" ht="91.5" customHeight="1" x14ac:dyDescent="0.2">
      <c r="A18" s="379" t="s">
        <v>237</v>
      </c>
      <c r="B18" s="379"/>
      <c r="C18" s="379"/>
      <c r="D18" s="379"/>
      <c r="E18" s="379"/>
      <c r="F18" s="379"/>
      <c r="G18" s="379"/>
      <c r="H18" s="379"/>
      <c r="I18" s="379"/>
      <c r="J18" s="379"/>
      <c r="K18" s="379"/>
      <c r="L18" s="379"/>
      <c r="M18" s="379"/>
      <c r="N18" s="379"/>
      <c r="O18" s="379"/>
      <c r="P18" s="15"/>
      <c r="Q18" s="15"/>
      <c r="R18" s="15"/>
      <c r="S18" s="15"/>
      <c r="T18" s="15"/>
      <c r="U18" s="15"/>
      <c r="V18" s="15"/>
      <c r="W18" s="15"/>
      <c r="X18" s="15"/>
      <c r="Y18" s="15"/>
      <c r="Z18" s="15"/>
    </row>
    <row r="19" spans="1:26" s="14" customFormat="1" ht="78" customHeight="1" x14ac:dyDescent="0.2">
      <c r="A19" s="349" t="s">
        <v>12</v>
      </c>
      <c r="B19" s="349" t="s">
        <v>238</v>
      </c>
      <c r="C19" s="349" t="s">
        <v>239</v>
      </c>
      <c r="D19" s="349" t="s">
        <v>240</v>
      </c>
      <c r="E19" s="380" t="s">
        <v>241</v>
      </c>
      <c r="F19" s="381"/>
      <c r="G19" s="381"/>
      <c r="H19" s="381"/>
      <c r="I19" s="382"/>
      <c r="J19" s="349" t="s">
        <v>242</v>
      </c>
      <c r="K19" s="349"/>
      <c r="L19" s="349"/>
      <c r="M19" s="349"/>
      <c r="N19" s="349"/>
      <c r="O19" s="349"/>
      <c r="P19" s="13"/>
      <c r="Q19" s="13"/>
      <c r="R19" s="13"/>
      <c r="S19" s="13"/>
      <c r="T19" s="13"/>
      <c r="U19" s="13"/>
      <c r="V19" s="13"/>
      <c r="W19" s="13"/>
    </row>
    <row r="20" spans="1:26" s="14" customFormat="1" ht="51" customHeight="1" x14ac:dyDescent="0.2">
      <c r="A20" s="349"/>
      <c r="B20" s="349"/>
      <c r="C20" s="349"/>
      <c r="D20" s="349"/>
      <c r="E20" s="27" t="s">
        <v>243</v>
      </c>
      <c r="F20" s="27" t="s">
        <v>244</v>
      </c>
      <c r="G20" s="27" t="s">
        <v>245</v>
      </c>
      <c r="H20" s="27" t="s">
        <v>246</v>
      </c>
      <c r="I20" s="27" t="s">
        <v>247</v>
      </c>
      <c r="J20" s="27">
        <v>2023</v>
      </c>
      <c r="K20" s="27">
        <v>2024</v>
      </c>
      <c r="L20" s="27">
        <v>2025</v>
      </c>
      <c r="M20" s="27">
        <v>2026</v>
      </c>
      <c r="N20" s="27">
        <v>2027</v>
      </c>
      <c r="O20" s="27">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3" t="s">
        <v>15</v>
      </c>
      <c r="B22" s="27">
        <v>2025</v>
      </c>
      <c r="C22" s="64">
        <v>0</v>
      </c>
      <c r="D22" s="64">
        <v>0</v>
      </c>
      <c r="E22" s="64">
        <v>0</v>
      </c>
      <c r="F22" s="64">
        <v>0</v>
      </c>
      <c r="G22" s="64">
        <v>0</v>
      </c>
      <c r="H22" s="64">
        <v>0</v>
      </c>
      <c r="I22" s="64">
        <v>0</v>
      </c>
      <c r="J22" s="26">
        <v>0</v>
      </c>
      <c r="K22" s="26">
        <v>0</v>
      </c>
      <c r="L22" s="87">
        <v>0</v>
      </c>
      <c r="M22" s="87">
        <v>0</v>
      </c>
      <c r="N22" s="87">
        <v>0</v>
      </c>
      <c r="O22" s="87">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workbookViewId="0">
      <selection activeCell="A98" sqref="A98:XFD161"/>
    </sheetView>
  </sheetViews>
  <sheetFormatPr defaultColWidth="9.140625" defaultRowHeight="15.75" x14ac:dyDescent="0.2"/>
  <cols>
    <col min="1" max="1" width="61.7109375" style="89" customWidth="1"/>
    <col min="2" max="2" width="18.5703125" style="90" customWidth="1"/>
    <col min="3" max="13" width="16.85546875" style="90" customWidth="1"/>
    <col min="14" max="42" width="16.85546875" style="90" hidden="1" customWidth="1"/>
    <col min="43" max="44" width="16.85546875" style="91" hidden="1" customWidth="1"/>
    <col min="45" max="45" width="16.85546875" style="91" customWidth="1"/>
    <col min="46" max="51" width="16.85546875" style="88" customWidth="1"/>
    <col min="52" max="256" width="9.140625" style="88"/>
    <col min="257" max="257" width="61.7109375" style="88" customWidth="1"/>
    <col min="258" max="258" width="18.5703125" style="88" customWidth="1"/>
    <col min="259" max="298" width="16.85546875" style="88" customWidth="1"/>
    <col min="299" max="300" width="18.5703125" style="88" customWidth="1"/>
    <col min="301" max="301" width="21.7109375" style="88" customWidth="1"/>
    <col min="302" max="512" width="9.140625" style="88"/>
    <col min="513" max="513" width="61.7109375" style="88" customWidth="1"/>
    <col min="514" max="514" width="18.5703125" style="88" customWidth="1"/>
    <col min="515" max="554" width="16.85546875" style="88" customWidth="1"/>
    <col min="555" max="556" width="18.5703125" style="88" customWidth="1"/>
    <col min="557" max="557" width="21.7109375" style="88" customWidth="1"/>
    <col min="558" max="768" width="9.140625" style="88"/>
    <col min="769" max="769" width="61.7109375" style="88" customWidth="1"/>
    <col min="770" max="770" width="18.5703125" style="88" customWidth="1"/>
    <col min="771" max="810" width="16.85546875" style="88" customWidth="1"/>
    <col min="811" max="812" width="18.5703125" style="88" customWidth="1"/>
    <col min="813" max="813" width="21.7109375" style="88" customWidth="1"/>
    <col min="814" max="1024" width="9.140625" style="88"/>
    <col min="1025" max="1025" width="61.7109375" style="88" customWidth="1"/>
    <col min="1026" max="1026" width="18.5703125" style="88" customWidth="1"/>
    <col min="1027" max="1066" width="16.85546875" style="88" customWidth="1"/>
    <col min="1067" max="1068" width="18.5703125" style="88" customWidth="1"/>
    <col min="1069" max="1069" width="21.7109375" style="88" customWidth="1"/>
    <col min="1070" max="1280" width="9.140625" style="88"/>
    <col min="1281" max="1281" width="61.7109375" style="88" customWidth="1"/>
    <col min="1282" max="1282" width="18.5703125" style="88" customWidth="1"/>
    <col min="1283" max="1322" width="16.85546875" style="88" customWidth="1"/>
    <col min="1323" max="1324" width="18.5703125" style="88" customWidth="1"/>
    <col min="1325" max="1325" width="21.7109375" style="88" customWidth="1"/>
    <col min="1326" max="1536" width="9.140625" style="88"/>
    <col min="1537" max="1537" width="61.7109375" style="88" customWidth="1"/>
    <col min="1538" max="1538" width="18.5703125" style="88" customWidth="1"/>
    <col min="1539" max="1578" width="16.85546875" style="88" customWidth="1"/>
    <col min="1579" max="1580" width="18.5703125" style="88" customWidth="1"/>
    <col min="1581" max="1581" width="21.7109375" style="88" customWidth="1"/>
    <col min="1582" max="1792" width="9.140625" style="88"/>
    <col min="1793" max="1793" width="61.7109375" style="88" customWidth="1"/>
    <col min="1794" max="1794" width="18.5703125" style="88" customWidth="1"/>
    <col min="1795" max="1834" width="16.85546875" style="88" customWidth="1"/>
    <col min="1835" max="1836" width="18.5703125" style="88" customWidth="1"/>
    <col min="1837" max="1837" width="21.7109375" style="88" customWidth="1"/>
    <col min="1838" max="2048" width="9.140625" style="88"/>
    <col min="2049" max="2049" width="61.7109375" style="88" customWidth="1"/>
    <col min="2050" max="2050" width="18.5703125" style="88" customWidth="1"/>
    <col min="2051" max="2090" width="16.85546875" style="88" customWidth="1"/>
    <col min="2091" max="2092" width="18.5703125" style="88" customWidth="1"/>
    <col min="2093" max="2093" width="21.7109375" style="88" customWidth="1"/>
    <col min="2094" max="2304" width="9.140625" style="88"/>
    <col min="2305" max="2305" width="61.7109375" style="88" customWidth="1"/>
    <col min="2306" max="2306" width="18.5703125" style="88" customWidth="1"/>
    <col min="2307" max="2346" width="16.85546875" style="88" customWidth="1"/>
    <col min="2347" max="2348" width="18.5703125" style="88" customWidth="1"/>
    <col min="2349" max="2349" width="21.7109375" style="88" customWidth="1"/>
    <col min="2350" max="2560" width="9.140625" style="88"/>
    <col min="2561" max="2561" width="61.7109375" style="88" customWidth="1"/>
    <col min="2562" max="2562" width="18.5703125" style="88" customWidth="1"/>
    <col min="2563" max="2602" width="16.85546875" style="88" customWidth="1"/>
    <col min="2603" max="2604" width="18.5703125" style="88" customWidth="1"/>
    <col min="2605" max="2605" width="21.7109375" style="88" customWidth="1"/>
    <col min="2606" max="2816" width="9.140625" style="88"/>
    <col min="2817" max="2817" width="61.7109375" style="88" customWidth="1"/>
    <col min="2818" max="2818" width="18.5703125" style="88" customWidth="1"/>
    <col min="2819" max="2858" width="16.85546875" style="88" customWidth="1"/>
    <col min="2859" max="2860" width="18.5703125" style="88" customWidth="1"/>
    <col min="2861" max="2861" width="21.7109375" style="88" customWidth="1"/>
    <col min="2862" max="3072" width="9.140625" style="88"/>
    <col min="3073" max="3073" width="61.7109375" style="88" customWidth="1"/>
    <col min="3074" max="3074" width="18.5703125" style="88" customWidth="1"/>
    <col min="3075" max="3114" width="16.85546875" style="88" customWidth="1"/>
    <col min="3115" max="3116" width="18.5703125" style="88" customWidth="1"/>
    <col min="3117" max="3117" width="21.7109375" style="88" customWidth="1"/>
    <col min="3118" max="3328" width="9.140625" style="88"/>
    <col min="3329" max="3329" width="61.7109375" style="88" customWidth="1"/>
    <col min="3330" max="3330" width="18.5703125" style="88" customWidth="1"/>
    <col min="3331" max="3370" width="16.85546875" style="88" customWidth="1"/>
    <col min="3371" max="3372" width="18.5703125" style="88" customWidth="1"/>
    <col min="3373" max="3373" width="21.7109375" style="88" customWidth="1"/>
    <col min="3374" max="3584" width="9.140625" style="88"/>
    <col min="3585" max="3585" width="61.7109375" style="88" customWidth="1"/>
    <col min="3586" max="3586" width="18.5703125" style="88" customWidth="1"/>
    <col min="3587" max="3626" width="16.85546875" style="88" customWidth="1"/>
    <col min="3627" max="3628" width="18.5703125" style="88" customWidth="1"/>
    <col min="3629" max="3629" width="21.7109375" style="88" customWidth="1"/>
    <col min="3630" max="3840" width="9.140625" style="88"/>
    <col min="3841" max="3841" width="61.7109375" style="88" customWidth="1"/>
    <col min="3842" max="3842" width="18.5703125" style="88" customWidth="1"/>
    <col min="3843" max="3882" width="16.85546875" style="88" customWidth="1"/>
    <col min="3883" max="3884" width="18.5703125" style="88" customWidth="1"/>
    <col min="3885" max="3885" width="21.7109375" style="88" customWidth="1"/>
    <col min="3886" max="4096" width="9.140625" style="88"/>
    <col min="4097" max="4097" width="61.7109375" style="88" customWidth="1"/>
    <col min="4098" max="4098" width="18.5703125" style="88" customWidth="1"/>
    <col min="4099" max="4138" width="16.85546875" style="88" customWidth="1"/>
    <col min="4139" max="4140" width="18.5703125" style="88" customWidth="1"/>
    <col min="4141" max="4141" width="21.7109375" style="88" customWidth="1"/>
    <col min="4142" max="4352" width="9.140625" style="88"/>
    <col min="4353" max="4353" width="61.7109375" style="88" customWidth="1"/>
    <col min="4354" max="4354" width="18.5703125" style="88" customWidth="1"/>
    <col min="4355" max="4394" width="16.85546875" style="88" customWidth="1"/>
    <col min="4395" max="4396" width="18.5703125" style="88" customWidth="1"/>
    <col min="4397" max="4397" width="21.7109375" style="88" customWidth="1"/>
    <col min="4398" max="4608" width="9.140625" style="88"/>
    <col min="4609" max="4609" width="61.7109375" style="88" customWidth="1"/>
    <col min="4610" max="4610" width="18.5703125" style="88" customWidth="1"/>
    <col min="4611" max="4650" width="16.85546875" style="88" customWidth="1"/>
    <col min="4651" max="4652" width="18.5703125" style="88" customWidth="1"/>
    <col min="4653" max="4653" width="21.7109375" style="88" customWidth="1"/>
    <col min="4654" max="4864" width="9.140625" style="88"/>
    <col min="4865" max="4865" width="61.7109375" style="88" customWidth="1"/>
    <col min="4866" max="4866" width="18.5703125" style="88" customWidth="1"/>
    <col min="4867" max="4906" width="16.85546875" style="88" customWidth="1"/>
    <col min="4907" max="4908" width="18.5703125" style="88" customWidth="1"/>
    <col min="4909" max="4909" width="21.7109375" style="88" customWidth="1"/>
    <col min="4910" max="5120" width="9.140625" style="88"/>
    <col min="5121" max="5121" width="61.7109375" style="88" customWidth="1"/>
    <col min="5122" max="5122" width="18.5703125" style="88" customWidth="1"/>
    <col min="5123" max="5162" width="16.85546875" style="88" customWidth="1"/>
    <col min="5163" max="5164" width="18.5703125" style="88" customWidth="1"/>
    <col min="5165" max="5165" width="21.7109375" style="88" customWidth="1"/>
    <col min="5166" max="5376" width="9.140625" style="88"/>
    <col min="5377" max="5377" width="61.7109375" style="88" customWidth="1"/>
    <col min="5378" max="5378" width="18.5703125" style="88" customWidth="1"/>
    <col min="5379" max="5418" width="16.85546875" style="88" customWidth="1"/>
    <col min="5419" max="5420" width="18.5703125" style="88" customWidth="1"/>
    <col min="5421" max="5421" width="21.7109375" style="88" customWidth="1"/>
    <col min="5422" max="5632" width="9.140625" style="88"/>
    <col min="5633" max="5633" width="61.7109375" style="88" customWidth="1"/>
    <col min="5634" max="5634" width="18.5703125" style="88" customWidth="1"/>
    <col min="5635" max="5674" width="16.85546875" style="88" customWidth="1"/>
    <col min="5675" max="5676" width="18.5703125" style="88" customWidth="1"/>
    <col min="5677" max="5677" width="21.7109375" style="88" customWidth="1"/>
    <col min="5678" max="5888" width="9.140625" style="88"/>
    <col min="5889" max="5889" width="61.7109375" style="88" customWidth="1"/>
    <col min="5890" max="5890" width="18.5703125" style="88" customWidth="1"/>
    <col min="5891" max="5930" width="16.85546875" style="88" customWidth="1"/>
    <col min="5931" max="5932" width="18.5703125" style="88" customWidth="1"/>
    <col min="5933" max="5933" width="21.7109375" style="88" customWidth="1"/>
    <col min="5934" max="6144" width="9.140625" style="88"/>
    <col min="6145" max="6145" width="61.7109375" style="88" customWidth="1"/>
    <col min="6146" max="6146" width="18.5703125" style="88" customWidth="1"/>
    <col min="6147" max="6186" width="16.85546875" style="88" customWidth="1"/>
    <col min="6187" max="6188" width="18.5703125" style="88" customWidth="1"/>
    <col min="6189" max="6189" width="21.7109375" style="88" customWidth="1"/>
    <col min="6190" max="6400" width="9.140625" style="88"/>
    <col min="6401" max="6401" width="61.7109375" style="88" customWidth="1"/>
    <col min="6402" max="6402" width="18.5703125" style="88" customWidth="1"/>
    <col min="6403" max="6442" width="16.85546875" style="88" customWidth="1"/>
    <col min="6443" max="6444" width="18.5703125" style="88" customWidth="1"/>
    <col min="6445" max="6445" width="21.7109375" style="88" customWidth="1"/>
    <col min="6446" max="6656" width="9.140625" style="88"/>
    <col min="6657" max="6657" width="61.7109375" style="88" customWidth="1"/>
    <col min="6658" max="6658" width="18.5703125" style="88" customWidth="1"/>
    <col min="6659" max="6698" width="16.85546875" style="88" customWidth="1"/>
    <col min="6699" max="6700" width="18.5703125" style="88" customWidth="1"/>
    <col min="6701" max="6701" width="21.7109375" style="88" customWidth="1"/>
    <col min="6702" max="6912" width="9.140625" style="88"/>
    <col min="6913" max="6913" width="61.7109375" style="88" customWidth="1"/>
    <col min="6914" max="6914" width="18.5703125" style="88" customWidth="1"/>
    <col min="6915" max="6954" width="16.85546875" style="88" customWidth="1"/>
    <col min="6955" max="6956" width="18.5703125" style="88" customWidth="1"/>
    <col min="6957" max="6957" width="21.7109375" style="88" customWidth="1"/>
    <col min="6958" max="7168" width="9.140625" style="88"/>
    <col min="7169" max="7169" width="61.7109375" style="88" customWidth="1"/>
    <col min="7170" max="7170" width="18.5703125" style="88" customWidth="1"/>
    <col min="7171" max="7210" width="16.85546875" style="88" customWidth="1"/>
    <col min="7211" max="7212" width="18.5703125" style="88" customWidth="1"/>
    <col min="7213" max="7213" width="21.7109375" style="88" customWidth="1"/>
    <col min="7214" max="7424" width="9.140625" style="88"/>
    <col min="7425" max="7425" width="61.7109375" style="88" customWidth="1"/>
    <col min="7426" max="7426" width="18.5703125" style="88" customWidth="1"/>
    <col min="7427" max="7466" width="16.85546875" style="88" customWidth="1"/>
    <col min="7467" max="7468" width="18.5703125" style="88" customWidth="1"/>
    <col min="7469" max="7469" width="21.7109375" style="88" customWidth="1"/>
    <col min="7470" max="7680" width="9.140625" style="88"/>
    <col min="7681" max="7681" width="61.7109375" style="88" customWidth="1"/>
    <col min="7682" max="7682" width="18.5703125" style="88" customWidth="1"/>
    <col min="7683" max="7722" width="16.85546875" style="88" customWidth="1"/>
    <col min="7723" max="7724" width="18.5703125" style="88" customWidth="1"/>
    <col min="7725" max="7725" width="21.7109375" style="88" customWidth="1"/>
    <col min="7726" max="7936" width="9.140625" style="88"/>
    <col min="7937" max="7937" width="61.7109375" style="88" customWidth="1"/>
    <col min="7938" max="7938" width="18.5703125" style="88" customWidth="1"/>
    <col min="7939" max="7978" width="16.85546875" style="88" customWidth="1"/>
    <col min="7979" max="7980" width="18.5703125" style="88" customWidth="1"/>
    <col min="7981" max="7981" width="21.7109375" style="88" customWidth="1"/>
    <col min="7982" max="8192" width="9.140625" style="88"/>
    <col min="8193" max="8193" width="61.7109375" style="88" customWidth="1"/>
    <col min="8194" max="8194" width="18.5703125" style="88" customWidth="1"/>
    <col min="8195" max="8234" width="16.85546875" style="88" customWidth="1"/>
    <col min="8235" max="8236" width="18.5703125" style="88" customWidth="1"/>
    <col min="8237" max="8237" width="21.7109375" style="88" customWidth="1"/>
    <col min="8238" max="8448" width="9.140625" style="88"/>
    <col min="8449" max="8449" width="61.7109375" style="88" customWidth="1"/>
    <col min="8450" max="8450" width="18.5703125" style="88" customWidth="1"/>
    <col min="8451" max="8490" width="16.85546875" style="88" customWidth="1"/>
    <col min="8491" max="8492" width="18.5703125" style="88" customWidth="1"/>
    <col min="8493" max="8493" width="21.7109375" style="88" customWidth="1"/>
    <col min="8494" max="8704" width="9.140625" style="88"/>
    <col min="8705" max="8705" width="61.7109375" style="88" customWidth="1"/>
    <col min="8706" max="8706" width="18.5703125" style="88" customWidth="1"/>
    <col min="8707" max="8746" width="16.85546875" style="88" customWidth="1"/>
    <col min="8747" max="8748" width="18.5703125" style="88" customWidth="1"/>
    <col min="8749" max="8749" width="21.7109375" style="88" customWidth="1"/>
    <col min="8750" max="8960" width="9.140625" style="88"/>
    <col min="8961" max="8961" width="61.7109375" style="88" customWidth="1"/>
    <col min="8962" max="8962" width="18.5703125" style="88" customWidth="1"/>
    <col min="8963" max="9002" width="16.85546875" style="88" customWidth="1"/>
    <col min="9003" max="9004" width="18.5703125" style="88" customWidth="1"/>
    <col min="9005" max="9005" width="21.7109375" style="88" customWidth="1"/>
    <col min="9006" max="9216" width="9.140625" style="88"/>
    <col min="9217" max="9217" width="61.7109375" style="88" customWidth="1"/>
    <col min="9218" max="9218" width="18.5703125" style="88" customWidth="1"/>
    <col min="9219" max="9258" width="16.85546875" style="88" customWidth="1"/>
    <col min="9259" max="9260" width="18.5703125" style="88" customWidth="1"/>
    <col min="9261" max="9261" width="21.7109375" style="88" customWidth="1"/>
    <col min="9262" max="9472" width="9.140625" style="88"/>
    <col min="9473" max="9473" width="61.7109375" style="88" customWidth="1"/>
    <col min="9474" max="9474" width="18.5703125" style="88" customWidth="1"/>
    <col min="9475" max="9514" width="16.85546875" style="88" customWidth="1"/>
    <col min="9515" max="9516" width="18.5703125" style="88" customWidth="1"/>
    <col min="9517" max="9517" width="21.7109375" style="88" customWidth="1"/>
    <col min="9518" max="9728" width="9.140625" style="88"/>
    <col min="9729" max="9729" width="61.7109375" style="88" customWidth="1"/>
    <col min="9730" max="9730" width="18.5703125" style="88" customWidth="1"/>
    <col min="9731" max="9770" width="16.85546875" style="88" customWidth="1"/>
    <col min="9771" max="9772" width="18.5703125" style="88" customWidth="1"/>
    <col min="9773" max="9773" width="21.7109375" style="88" customWidth="1"/>
    <col min="9774" max="9984" width="9.140625" style="88"/>
    <col min="9985" max="9985" width="61.7109375" style="88" customWidth="1"/>
    <col min="9986" max="9986" width="18.5703125" style="88" customWidth="1"/>
    <col min="9987" max="10026" width="16.85546875" style="88" customWidth="1"/>
    <col min="10027" max="10028" width="18.5703125" style="88" customWidth="1"/>
    <col min="10029" max="10029" width="21.7109375" style="88" customWidth="1"/>
    <col min="10030" max="10240" width="9.140625" style="88"/>
    <col min="10241" max="10241" width="61.7109375" style="88" customWidth="1"/>
    <col min="10242" max="10242" width="18.5703125" style="88" customWidth="1"/>
    <col min="10243" max="10282" width="16.85546875" style="88" customWidth="1"/>
    <col min="10283" max="10284" width="18.5703125" style="88" customWidth="1"/>
    <col min="10285" max="10285" width="21.7109375" style="88" customWidth="1"/>
    <col min="10286" max="10496" width="9.140625" style="88"/>
    <col min="10497" max="10497" width="61.7109375" style="88" customWidth="1"/>
    <col min="10498" max="10498" width="18.5703125" style="88" customWidth="1"/>
    <col min="10499" max="10538" width="16.85546875" style="88" customWidth="1"/>
    <col min="10539" max="10540" width="18.5703125" style="88" customWidth="1"/>
    <col min="10541" max="10541" width="21.7109375" style="88" customWidth="1"/>
    <col min="10542" max="10752" width="9.140625" style="88"/>
    <col min="10753" max="10753" width="61.7109375" style="88" customWidth="1"/>
    <col min="10754" max="10754" width="18.5703125" style="88" customWidth="1"/>
    <col min="10755" max="10794" width="16.85546875" style="88" customWidth="1"/>
    <col min="10795" max="10796" width="18.5703125" style="88" customWidth="1"/>
    <col min="10797" max="10797" width="21.7109375" style="88" customWidth="1"/>
    <col min="10798" max="11008" width="9.140625" style="88"/>
    <col min="11009" max="11009" width="61.7109375" style="88" customWidth="1"/>
    <col min="11010" max="11010" width="18.5703125" style="88" customWidth="1"/>
    <col min="11011" max="11050" width="16.85546875" style="88" customWidth="1"/>
    <col min="11051" max="11052" width="18.5703125" style="88" customWidth="1"/>
    <col min="11053" max="11053" width="21.7109375" style="88" customWidth="1"/>
    <col min="11054" max="11264" width="9.140625" style="88"/>
    <col min="11265" max="11265" width="61.7109375" style="88" customWidth="1"/>
    <col min="11266" max="11266" width="18.5703125" style="88" customWidth="1"/>
    <col min="11267" max="11306" width="16.85546875" style="88" customWidth="1"/>
    <col min="11307" max="11308" width="18.5703125" style="88" customWidth="1"/>
    <col min="11309" max="11309" width="21.7109375" style="88" customWidth="1"/>
    <col min="11310" max="11520" width="9.140625" style="88"/>
    <col min="11521" max="11521" width="61.7109375" style="88" customWidth="1"/>
    <col min="11522" max="11522" width="18.5703125" style="88" customWidth="1"/>
    <col min="11523" max="11562" width="16.85546875" style="88" customWidth="1"/>
    <col min="11563" max="11564" width="18.5703125" style="88" customWidth="1"/>
    <col min="11565" max="11565" width="21.7109375" style="88" customWidth="1"/>
    <col min="11566" max="11776" width="9.140625" style="88"/>
    <col min="11777" max="11777" width="61.7109375" style="88" customWidth="1"/>
    <col min="11778" max="11778" width="18.5703125" style="88" customWidth="1"/>
    <col min="11779" max="11818" width="16.85546875" style="88" customWidth="1"/>
    <col min="11819" max="11820" width="18.5703125" style="88" customWidth="1"/>
    <col min="11821" max="11821" width="21.7109375" style="88" customWidth="1"/>
    <col min="11822" max="12032" width="9.140625" style="88"/>
    <col min="12033" max="12033" width="61.7109375" style="88" customWidth="1"/>
    <col min="12034" max="12034" width="18.5703125" style="88" customWidth="1"/>
    <col min="12035" max="12074" width="16.85546875" style="88" customWidth="1"/>
    <col min="12075" max="12076" width="18.5703125" style="88" customWidth="1"/>
    <col min="12077" max="12077" width="21.7109375" style="88" customWidth="1"/>
    <col min="12078" max="12288" width="9.140625" style="88"/>
    <col min="12289" max="12289" width="61.7109375" style="88" customWidth="1"/>
    <col min="12290" max="12290" width="18.5703125" style="88" customWidth="1"/>
    <col min="12291" max="12330" width="16.85546875" style="88" customWidth="1"/>
    <col min="12331" max="12332" width="18.5703125" style="88" customWidth="1"/>
    <col min="12333" max="12333" width="21.7109375" style="88" customWidth="1"/>
    <col min="12334" max="12544" width="9.140625" style="88"/>
    <col min="12545" max="12545" width="61.7109375" style="88" customWidth="1"/>
    <col min="12546" max="12546" width="18.5703125" style="88" customWidth="1"/>
    <col min="12547" max="12586" width="16.85546875" style="88" customWidth="1"/>
    <col min="12587" max="12588" width="18.5703125" style="88" customWidth="1"/>
    <col min="12589" max="12589" width="21.7109375" style="88" customWidth="1"/>
    <col min="12590" max="12800" width="9.140625" style="88"/>
    <col min="12801" max="12801" width="61.7109375" style="88" customWidth="1"/>
    <col min="12802" max="12802" width="18.5703125" style="88" customWidth="1"/>
    <col min="12803" max="12842" width="16.85546875" style="88" customWidth="1"/>
    <col min="12843" max="12844" width="18.5703125" style="88" customWidth="1"/>
    <col min="12845" max="12845" width="21.7109375" style="88" customWidth="1"/>
    <col min="12846" max="13056" width="9.140625" style="88"/>
    <col min="13057" max="13057" width="61.7109375" style="88" customWidth="1"/>
    <col min="13058" max="13058" width="18.5703125" style="88" customWidth="1"/>
    <col min="13059" max="13098" width="16.85546875" style="88" customWidth="1"/>
    <col min="13099" max="13100" width="18.5703125" style="88" customWidth="1"/>
    <col min="13101" max="13101" width="21.7109375" style="88" customWidth="1"/>
    <col min="13102" max="13312" width="9.140625" style="88"/>
    <col min="13313" max="13313" width="61.7109375" style="88" customWidth="1"/>
    <col min="13314" max="13314" width="18.5703125" style="88" customWidth="1"/>
    <col min="13315" max="13354" width="16.85546875" style="88" customWidth="1"/>
    <col min="13355" max="13356" width="18.5703125" style="88" customWidth="1"/>
    <col min="13357" max="13357" width="21.7109375" style="88" customWidth="1"/>
    <col min="13358" max="13568" width="9.140625" style="88"/>
    <col min="13569" max="13569" width="61.7109375" style="88" customWidth="1"/>
    <col min="13570" max="13570" width="18.5703125" style="88" customWidth="1"/>
    <col min="13571" max="13610" width="16.85546875" style="88" customWidth="1"/>
    <col min="13611" max="13612" width="18.5703125" style="88" customWidth="1"/>
    <col min="13613" max="13613" width="21.7109375" style="88" customWidth="1"/>
    <col min="13614" max="13824" width="9.140625" style="88"/>
    <col min="13825" max="13825" width="61.7109375" style="88" customWidth="1"/>
    <col min="13826" max="13826" width="18.5703125" style="88" customWidth="1"/>
    <col min="13827" max="13866" width="16.85546875" style="88" customWidth="1"/>
    <col min="13867" max="13868" width="18.5703125" style="88" customWidth="1"/>
    <col min="13869" max="13869" width="21.7109375" style="88" customWidth="1"/>
    <col min="13870" max="14080" width="9.140625" style="88"/>
    <col min="14081" max="14081" width="61.7109375" style="88" customWidth="1"/>
    <col min="14082" max="14082" width="18.5703125" style="88" customWidth="1"/>
    <col min="14083" max="14122" width="16.85546875" style="88" customWidth="1"/>
    <col min="14123" max="14124" width="18.5703125" style="88" customWidth="1"/>
    <col min="14125" max="14125" width="21.7109375" style="88" customWidth="1"/>
    <col min="14126" max="14336" width="9.140625" style="88"/>
    <col min="14337" max="14337" width="61.7109375" style="88" customWidth="1"/>
    <col min="14338" max="14338" width="18.5703125" style="88" customWidth="1"/>
    <col min="14339" max="14378" width="16.85546875" style="88" customWidth="1"/>
    <col min="14379" max="14380" width="18.5703125" style="88" customWidth="1"/>
    <col min="14381" max="14381" width="21.7109375" style="88" customWidth="1"/>
    <col min="14382" max="14592" width="9.140625" style="88"/>
    <col min="14593" max="14593" width="61.7109375" style="88" customWidth="1"/>
    <col min="14594" max="14594" width="18.5703125" style="88" customWidth="1"/>
    <col min="14595" max="14634" width="16.85546875" style="88" customWidth="1"/>
    <col min="14635" max="14636" width="18.5703125" style="88" customWidth="1"/>
    <col min="14637" max="14637" width="21.7109375" style="88" customWidth="1"/>
    <col min="14638" max="14848" width="9.140625" style="88"/>
    <col min="14849" max="14849" width="61.7109375" style="88" customWidth="1"/>
    <col min="14850" max="14850" width="18.5703125" style="88" customWidth="1"/>
    <col min="14851" max="14890" width="16.85546875" style="88" customWidth="1"/>
    <col min="14891" max="14892" width="18.5703125" style="88" customWidth="1"/>
    <col min="14893" max="14893" width="21.7109375" style="88" customWidth="1"/>
    <col min="14894" max="15104" width="9.140625" style="88"/>
    <col min="15105" max="15105" width="61.7109375" style="88" customWidth="1"/>
    <col min="15106" max="15106" width="18.5703125" style="88" customWidth="1"/>
    <col min="15107" max="15146" width="16.85546875" style="88" customWidth="1"/>
    <col min="15147" max="15148" width="18.5703125" style="88" customWidth="1"/>
    <col min="15149" max="15149" width="21.7109375" style="88" customWidth="1"/>
    <col min="15150" max="15360" width="9.140625" style="88"/>
    <col min="15361" max="15361" width="61.7109375" style="88" customWidth="1"/>
    <col min="15362" max="15362" width="18.5703125" style="88" customWidth="1"/>
    <col min="15363" max="15402" width="16.85546875" style="88" customWidth="1"/>
    <col min="15403" max="15404" width="18.5703125" style="88" customWidth="1"/>
    <col min="15405" max="15405" width="21.7109375" style="88" customWidth="1"/>
    <col min="15406" max="15616" width="9.140625" style="88"/>
    <col min="15617" max="15617" width="61.7109375" style="88" customWidth="1"/>
    <col min="15618" max="15618" width="18.5703125" style="88" customWidth="1"/>
    <col min="15619" max="15658" width="16.85546875" style="88" customWidth="1"/>
    <col min="15659" max="15660" width="18.5703125" style="88" customWidth="1"/>
    <col min="15661" max="15661" width="21.7109375" style="88" customWidth="1"/>
    <col min="15662" max="15872" width="9.140625" style="88"/>
    <col min="15873" max="15873" width="61.7109375" style="88" customWidth="1"/>
    <col min="15874" max="15874" width="18.5703125" style="88" customWidth="1"/>
    <col min="15875" max="15914" width="16.85546875" style="88" customWidth="1"/>
    <col min="15915" max="15916" width="18.5703125" style="88" customWidth="1"/>
    <col min="15917" max="15917" width="21.7109375" style="88" customWidth="1"/>
    <col min="15918" max="16128" width="9.140625" style="88"/>
    <col min="16129" max="16129" width="61.7109375" style="88" customWidth="1"/>
    <col min="16130" max="16130" width="18.5703125" style="88" customWidth="1"/>
    <col min="16131" max="16170" width="16.85546875" style="88" customWidth="1"/>
    <col min="16171" max="16172" width="18.5703125" style="88" customWidth="1"/>
    <col min="16173" max="16173" width="21.7109375" style="88" customWidth="1"/>
    <col min="16174" max="16384" width="9.140625" style="88"/>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88"/>
      <c r="F2" s="88"/>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88"/>
      <c r="F3" s="88"/>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92"/>
      <c r="AR4" s="92"/>
    </row>
    <row r="5" spans="1:44" x14ac:dyDescent="0.2">
      <c r="A5" s="383" t="str">
        <f>'4. паспортбюджет'!A5:O5</f>
        <v>Год раскрытия информации: 2025 год</v>
      </c>
      <c r="B5" s="383"/>
      <c r="C5" s="383"/>
      <c r="D5" s="383"/>
      <c r="E5" s="383"/>
      <c r="F5" s="383"/>
      <c r="G5" s="383"/>
      <c r="H5" s="38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4"/>
      <c r="AR5" s="94"/>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92"/>
      <c r="AR6" s="92"/>
    </row>
    <row r="7" spans="1:44" ht="18.75" x14ac:dyDescent="0.2">
      <c r="A7" s="335" t="str">
        <f>'[3]1. паспорт местоположение'!A7:C7</f>
        <v xml:space="preserve">Паспорт инвестиционного проекта </v>
      </c>
      <c r="B7" s="335"/>
      <c r="C7" s="335"/>
      <c r="D7" s="335"/>
      <c r="E7" s="335"/>
      <c r="F7" s="335"/>
      <c r="G7" s="335"/>
      <c r="H7" s="33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5"/>
      <c r="AR7" s="95"/>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92"/>
      <c r="AR8" s="92"/>
    </row>
    <row r="9" spans="1:44" ht="18.75" x14ac:dyDescent="0.2">
      <c r="A9" s="344" t="str">
        <f>'4. паспортбюджет'!A9:O9</f>
        <v>Акционерное общество "Россети Янтарь" ДЗО  ПАО "Россети"</v>
      </c>
      <c r="B9" s="344"/>
      <c r="C9" s="344"/>
      <c r="D9" s="344"/>
      <c r="E9" s="344"/>
      <c r="F9" s="344"/>
      <c r="G9" s="344"/>
      <c r="H9" s="344"/>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6"/>
      <c r="AR9" s="96"/>
    </row>
    <row r="10" spans="1:44" x14ac:dyDescent="0.2">
      <c r="A10" s="337" t="s">
        <v>6</v>
      </c>
      <c r="B10" s="337"/>
      <c r="C10" s="337"/>
      <c r="D10" s="337"/>
      <c r="E10" s="337"/>
      <c r="F10" s="337"/>
      <c r="G10" s="337"/>
      <c r="H10" s="337"/>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7"/>
      <c r="AR10" s="97"/>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92"/>
      <c r="AR11" s="92"/>
    </row>
    <row r="12" spans="1:44" ht="18.75" x14ac:dyDescent="0.2">
      <c r="A12" s="344" t="str">
        <f>'1. паспорт местоположение'!A12:C12</f>
        <v>N_22-1313</v>
      </c>
      <c r="B12" s="344"/>
      <c r="C12" s="344"/>
      <c r="D12" s="344"/>
      <c r="E12" s="344"/>
      <c r="F12" s="344"/>
      <c r="G12" s="344"/>
      <c r="H12" s="344"/>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6"/>
      <c r="AR12" s="96"/>
    </row>
    <row r="13" spans="1:44" x14ac:dyDescent="0.2">
      <c r="A13" s="337" t="s">
        <v>8</v>
      </c>
      <c r="B13" s="337"/>
      <c r="C13" s="337"/>
      <c r="D13" s="337"/>
      <c r="E13" s="337"/>
      <c r="F13" s="337"/>
      <c r="G13" s="337"/>
      <c r="H13" s="337"/>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7"/>
      <c r="AR13" s="97"/>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92"/>
      <c r="AR14" s="92"/>
    </row>
    <row r="15" spans="1:44" ht="51.75" customHeight="1" x14ac:dyDescent="0.25">
      <c r="A15" s="384" t="str">
        <f>'1. паспорт местоположение'!A15:C15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84"/>
      <c r="C15" s="384"/>
      <c r="D15" s="384"/>
      <c r="E15" s="384"/>
      <c r="F15" s="384"/>
      <c r="G15" s="384"/>
      <c r="H15" s="384"/>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6"/>
      <c r="AR15" s="96"/>
    </row>
    <row r="16" spans="1:44" x14ac:dyDescent="0.2">
      <c r="A16" s="337" t="s">
        <v>10</v>
      </c>
      <c r="B16" s="337"/>
      <c r="C16" s="337"/>
      <c r="D16" s="337"/>
      <c r="E16" s="337"/>
      <c r="F16" s="337"/>
      <c r="G16" s="337"/>
      <c r="H16" s="337"/>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7"/>
      <c r="AR16" s="97"/>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98"/>
      <c r="AR17" s="98"/>
    </row>
    <row r="18" spans="1:44" ht="18.75" x14ac:dyDescent="0.2">
      <c r="A18" s="344" t="s">
        <v>248</v>
      </c>
      <c r="B18" s="344"/>
      <c r="C18" s="344"/>
      <c r="D18" s="344"/>
      <c r="E18" s="344"/>
      <c r="F18" s="344"/>
      <c r="G18" s="344"/>
      <c r="H18" s="344"/>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99"/>
      <c r="AR18" s="99"/>
    </row>
    <row r="19" spans="1:44" x14ac:dyDescent="0.2">
      <c r="A19" s="100"/>
      <c r="Q19" s="101"/>
    </row>
    <row r="20" spans="1:44" x14ac:dyDescent="0.2">
      <c r="A20" s="100"/>
      <c r="Q20" s="101"/>
    </row>
    <row r="21" spans="1:44" x14ac:dyDescent="0.2">
      <c r="A21" s="100"/>
      <c r="Q21" s="101"/>
    </row>
    <row r="22" spans="1:44" x14ac:dyDescent="0.2">
      <c r="A22" s="100"/>
      <c r="Q22" s="101"/>
    </row>
    <row r="23" spans="1:44" x14ac:dyDescent="0.2">
      <c r="D23" s="102"/>
      <c r="Q23" s="101"/>
    </row>
    <row r="24" spans="1:44" x14ac:dyDescent="0.2">
      <c r="A24" s="103" t="s">
        <v>249</v>
      </c>
      <c r="B24" s="104" t="s">
        <v>250</v>
      </c>
      <c r="D24" s="105"/>
      <c r="E24" s="106"/>
      <c r="F24" s="106"/>
      <c r="G24" s="106"/>
      <c r="H24" s="106"/>
    </row>
    <row r="25" spans="1:44" x14ac:dyDescent="0.2">
      <c r="A25" s="107" t="s">
        <v>251</v>
      </c>
      <c r="B25" s="108">
        <f>'6.2. Паспорт фин осв ввод'!C30*1000000</f>
        <v>13370518.32</v>
      </c>
    </row>
    <row r="26" spans="1:44" x14ac:dyDescent="0.2">
      <c r="A26" s="109" t="s">
        <v>252</v>
      </c>
      <c r="B26" s="110">
        <v>0</v>
      </c>
    </row>
    <row r="27" spans="1:44" x14ac:dyDescent="0.2">
      <c r="A27" s="109" t="s">
        <v>253</v>
      </c>
      <c r="B27" s="110">
        <f>$B$126</f>
        <v>25</v>
      </c>
      <c r="D27" s="102" t="s">
        <v>254</v>
      </c>
    </row>
    <row r="28" spans="1:44" ht="16.149999999999999" customHeight="1" x14ac:dyDescent="0.2">
      <c r="A28" s="111" t="s">
        <v>255</v>
      </c>
      <c r="B28" s="112">
        <v>1</v>
      </c>
      <c r="D28" s="385" t="s">
        <v>256</v>
      </c>
      <c r="E28" s="386"/>
      <c r="F28" s="387"/>
      <c r="G28" s="388">
        <f>IF(SUM(B89:M89)=0,"не окупается",SUM(B89:M89))</f>
        <v>3.887121179032154</v>
      </c>
      <c r="H28" s="389"/>
    </row>
    <row r="29" spans="1:44" ht="15.6" customHeight="1" x14ac:dyDescent="0.2">
      <c r="A29" s="107" t="s">
        <v>257</v>
      </c>
      <c r="B29" s="108">
        <f>$B$129*$B$130</f>
        <v>0</v>
      </c>
      <c r="D29" s="385" t="s">
        <v>258</v>
      </c>
      <c r="E29" s="386"/>
      <c r="F29" s="387"/>
      <c r="G29" s="388">
        <f>IF(SUM(B90:L90)=0,"не окупается",SUM(B90:L90))</f>
        <v>4.5896324865003493</v>
      </c>
      <c r="H29" s="389"/>
    </row>
    <row r="30" spans="1:44" ht="27.6" customHeight="1" x14ac:dyDescent="0.2">
      <c r="A30" s="109" t="s">
        <v>259</v>
      </c>
      <c r="B30" s="110">
        <v>6</v>
      </c>
      <c r="D30" s="385" t="s">
        <v>260</v>
      </c>
      <c r="E30" s="386"/>
      <c r="F30" s="387"/>
      <c r="G30" s="393">
        <f>M87</f>
        <v>24688102.067008071</v>
      </c>
      <c r="H30" s="394"/>
    </row>
    <row r="31" spans="1:44" x14ac:dyDescent="0.2">
      <c r="A31" s="109" t="s">
        <v>261</v>
      </c>
      <c r="B31" s="110">
        <v>6</v>
      </c>
      <c r="D31" s="395"/>
      <c r="E31" s="396"/>
      <c r="F31" s="397"/>
      <c r="G31" s="395"/>
      <c r="H31" s="397"/>
    </row>
    <row r="32" spans="1:44" x14ac:dyDescent="0.2">
      <c r="A32" s="109" t="s">
        <v>262</v>
      </c>
      <c r="B32" s="110"/>
    </row>
    <row r="33" spans="1:44" x14ac:dyDescent="0.2">
      <c r="A33" s="109" t="s">
        <v>263</v>
      </c>
      <c r="B33" s="110"/>
    </row>
    <row r="34" spans="1:44" x14ac:dyDescent="0.2">
      <c r="A34" s="109" t="s">
        <v>264</v>
      </c>
      <c r="B34" s="110"/>
    </row>
    <row r="35" spans="1:44" x14ac:dyDescent="0.2">
      <c r="A35" s="113"/>
      <c r="B35" s="110"/>
    </row>
    <row r="36" spans="1:44" x14ac:dyDescent="0.2">
      <c r="A36" s="111" t="s">
        <v>265</v>
      </c>
      <c r="B36" s="114">
        <v>0.2</v>
      </c>
    </row>
    <row r="37" spans="1:44" x14ac:dyDescent="0.2">
      <c r="A37" s="107" t="s">
        <v>266</v>
      </c>
      <c r="B37" s="108">
        <v>0</v>
      </c>
    </row>
    <row r="38" spans="1:44" x14ac:dyDescent="0.2">
      <c r="A38" s="109" t="s">
        <v>267</v>
      </c>
      <c r="B38" s="110"/>
    </row>
    <row r="39" spans="1:44" x14ac:dyDescent="0.2">
      <c r="A39" s="115" t="s">
        <v>268</v>
      </c>
      <c r="B39" s="116"/>
    </row>
    <row r="40" spans="1:44" x14ac:dyDescent="0.2">
      <c r="A40" s="117" t="s">
        <v>269</v>
      </c>
      <c r="B40" s="118">
        <v>1</v>
      </c>
    </row>
    <row r="41" spans="1:44" x14ac:dyDescent="0.2">
      <c r="A41" s="119" t="s">
        <v>270</v>
      </c>
      <c r="B41" s="120"/>
    </row>
    <row r="42" spans="1:44" x14ac:dyDescent="0.2">
      <c r="A42" s="119" t="s">
        <v>271</v>
      </c>
      <c r="B42" s="121"/>
    </row>
    <row r="43" spans="1:44" x14ac:dyDescent="0.2">
      <c r="A43" s="119" t="s">
        <v>272</v>
      </c>
      <c r="B43" s="121">
        <v>0</v>
      </c>
    </row>
    <row r="44" spans="1:44" x14ac:dyDescent="0.2">
      <c r="A44" s="119" t="s">
        <v>273</v>
      </c>
      <c r="B44" s="121">
        <f>B132</f>
        <v>0.1371</v>
      </c>
    </row>
    <row r="45" spans="1:44" x14ac:dyDescent="0.2">
      <c r="A45" s="119" t="s">
        <v>274</v>
      </c>
      <c r="B45" s="121">
        <f>1-B43</f>
        <v>1</v>
      </c>
    </row>
    <row r="46" spans="1:44" ht="16.5" thickBot="1" x14ac:dyDescent="0.25">
      <c r="A46" s="122" t="s">
        <v>275</v>
      </c>
      <c r="B46" s="123">
        <f>B45*B44+B43*B42*(1-B36)</f>
        <v>0.1371</v>
      </c>
      <c r="C46" s="124"/>
    </row>
    <row r="47" spans="1:44" x14ac:dyDescent="0.2">
      <c r="A47" s="125" t="s">
        <v>276</v>
      </c>
      <c r="B47" s="126">
        <f>B58</f>
        <v>1</v>
      </c>
      <c r="C47" s="126">
        <f t="shared" ref="C47:AO47" si="0">C58</f>
        <v>2</v>
      </c>
      <c r="D47" s="126">
        <f t="shared" si="0"/>
        <v>3</v>
      </c>
      <c r="E47" s="126">
        <f t="shared" si="0"/>
        <v>4</v>
      </c>
      <c r="F47" s="126">
        <f t="shared" si="0"/>
        <v>5</v>
      </c>
      <c r="G47" s="126">
        <f t="shared" si="0"/>
        <v>6</v>
      </c>
      <c r="H47" s="126">
        <f t="shared" si="0"/>
        <v>7</v>
      </c>
      <c r="I47" s="126">
        <f t="shared" si="0"/>
        <v>8</v>
      </c>
      <c r="J47" s="126">
        <f t="shared" si="0"/>
        <v>9</v>
      </c>
      <c r="K47" s="126">
        <f t="shared" si="0"/>
        <v>10</v>
      </c>
      <c r="L47" s="126">
        <f t="shared" si="0"/>
        <v>11</v>
      </c>
      <c r="M47" s="126">
        <f t="shared" si="0"/>
        <v>12</v>
      </c>
      <c r="N47" s="126">
        <f t="shared" si="0"/>
        <v>13</v>
      </c>
      <c r="O47" s="126">
        <f t="shared" si="0"/>
        <v>14</v>
      </c>
      <c r="P47" s="126">
        <f t="shared" si="0"/>
        <v>15</v>
      </c>
      <c r="Q47" s="126">
        <f t="shared" si="0"/>
        <v>16</v>
      </c>
      <c r="R47" s="126">
        <f t="shared" si="0"/>
        <v>17</v>
      </c>
      <c r="S47" s="126">
        <f t="shared" si="0"/>
        <v>18</v>
      </c>
      <c r="T47" s="126">
        <f t="shared" si="0"/>
        <v>19</v>
      </c>
      <c r="U47" s="126">
        <f t="shared" si="0"/>
        <v>20</v>
      </c>
      <c r="V47" s="126">
        <f t="shared" si="0"/>
        <v>21</v>
      </c>
      <c r="W47" s="126">
        <f t="shared" si="0"/>
        <v>22</v>
      </c>
      <c r="X47" s="126">
        <f t="shared" si="0"/>
        <v>23</v>
      </c>
      <c r="Y47" s="126">
        <f t="shared" si="0"/>
        <v>24</v>
      </c>
      <c r="Z47" s="126">
        <f t="shared" si="0"/>
        <v>25</v>
      </c>
      <c r="AA47" s="126">
        <f t="shared" si="0"/>
        <v>26</v>
      </c>
      <c r="AB47" s="126">
        <f t="shared" si="0"/>
        <v>27</v>
      </c>
      <c r="AC47" s="126">
        <f t="shared" si="0"/>
        <v>28</v>
      </c>
      <c r="AD47" s="126">
        <f t="shared" si="0"/>
        <v>29</v>
      </c>
      <c r="AE47" s="126">
        <f t="shared" si="0"/>
        <v>30</v>
      </c>
      <c r="AF47" s="126">
        <f t="shared" si="0"/>
        <v>31</v>
      </c>
      <c r="AG47" s="126">
        <f t="shared" si="0"/>
        <v>32</v>
      </c>
      <c r="AH47" s="126">
        <f t="shared" si="0"/>
        <v>33</v>
      </c>
      <c r="AI47" s="126">
        <f t="shared" si="0"/>
        <v>34</v>
      </c>
      <c r="AJ47" s="126">
        <f t="shared" si="0"/>
        <v>35</v>
      </c>
      <c r="AK47" s="126">
        <f t="shared" si="0"/>
        <v>36</v>
      </c>
      <c r="AL47" s="126">
        <f t="shared" si="0"/>
        <v>37</v>
      </c>
      <c r="AM47" s="126">
        <f t="shared" si="0"/>
        <v>38</v>
      </c>
      <c r="AN47" s="126">
        <f t="shared" si="0"/>
        <v>39</v>
      </c>
      <c r="AO47" s="126">
        <f t="shared" si="0"/>
        <v>40</v>
      </c>
      <c r="AP47" s="126">
        <f>AP58</f>
        <v>41</v>
      </c>
      <c r="AQ47" s="88"/>
      <c r="AR47" s="88"/>
    </row>
    <row r="48" spans="1:44" x14ac:dyDescent="0.2">
      <c r="A48" s="127" t="s">
        <v>277</v>
      </c>
      <c r="B48" s="128">
        <f>C139</f>
        <v>7.8163170639641913E-2</v>
      </c>
      <c r="C48" s="128">
        <f t="shared" ref="C48:AS48" si="1">D139</f>
        <v>5.2628968689616612E-2</v>
      </c>
      <c r="D48" s="128">
        <f t="shared" si="1"/>
        <v>4.4208979893394937E-2</v>
      </c>
      <c r="E48" s="128">
        <f t="shared" si="1"/>
        <v>4.4208979893394937E-2</v>
      </c>
      <c r="F48" s="128">
        <f t="shared" si="1"/>
        <v>4.4208979893394937E-2</v>
      </c>
      <c r="G48" s="128">
        <f t="shared" si="1"/>
        <v>4.4208979893394937E-2</v>
      </c>
      <c r="H48" s="128">
        <f t="shared" si="1"/>
        <v>4.4208979893394937E-2</v>
      </c>
      <c r="I48" s="128">
        <f t="shared" si="1"/>
        <v>4.4208979893394937E-2</v>
      </c>
      <c r="J48" s="128">
        <f t="shared" si="1"/>
        <v>4.4208979893394937E-2</v>
      </c>
      <c r="K48" s="128">
        <f t="shared" si="1"/>
        <v>4.4208979893394937E-2</v>
      </c>
      <c r="L48" s="128">
        <f t="shared" si="1"/>
        <v>4.4208979893394937E-2</v>
      </c>
      <c r="M48" s="128">
        <f t="shared" si="1"/>
        <v>4.4208979893394937E-2</v>
      </c>
      <c r="N48" s="128">
        <f t="shared" si="1"/>
        <v>4.4208979893394937E-2</v>
      </c>
      <c r="O48" s="128">
        <f t="shared" si="1"/>
        <v>4.4208979893394937E-2</v>
      </c>
      <c r="P48" s="128">
        <f t="shared" si="1"/>
        <v>4.4208979893394937E-2</v>
      </c>
      <c r="Q48" s="128">
        <f t="shared" si="1"/>
        <v>4.4208979893394937E-2</v>
      </c>
      <c r="R48" s="128">
        <f t="shared" si="1"/>
        <v>4.4208979893394937E-2</v>
      </c>
      <c r="S48" s="128">
        <f t="shared" si="1"/>
        <v>4.4208979893394937E-2</v>
      </c>
      <c r="T48" s="128">
        <f t="shared" si="1"/>
        <v>4.4208979893394937E-2</v>
      </c>
      <c r="U48" s="128">
        <f t="shared" si="1"/>
        <v>4.4208979893394937E-2</v>
      </c>
      <c r="V48" s="128">
        <f t="shared" si="1"/>
        <v>4.4208979893394937E-2</v>
      </c>
      <c r="W48" s="128">
        <f t="shared" si="1"/>
        <v>4.4208979893394937E-2</v>
      </c>
      <c r="X48" s="128">
        <f t="shared" si="1"/>
        <v>4.4208979893394937E-2</v>
      </c>
      <c r="Y48" s="128">
        <f t="shared" si="1"/>
        <v>4.4208979893394937E-2</v>
      </c>
      <c r="Z48" s="128">
        <f t="shared" si="1"/>
        <v>4.4208979893394937E-2</v>
      </c>
      <c r="AA48" s="128">
        <f t="shared" si="1"/>
        <v>4.4208979893394937E-2</v>
      </c>
      <c r="AB48" s="128">
        <f t="shared" si="1"/>
        <v>4.4208979893394937E-2</v>
      </c>
      <c r="AC48" s="128">
        <f t="shared" si="1"/>
        <v>4.4208979893394937E-2</v>
      </c>
      <c r="AD48" s="128">
        <f t="shared" si="1"/>
        <v>4.4208979893394937E-2</v>
      </c>
      <c r="AE48" s="128">
        <f t="shared" si="1"/>
        <v>4.4208979893394937E-2</v>
      </c>
      <c r="AF48" s="128">
        <f t="shared" si="1"/>
        <v>4.4208979893394937E-2</v>
      </c>
      <c r="AG48" s="128">
        <f t="shared" si="1"/>
        <v>4.4208979893394937E-2</v>
      </c>
      <c r="AH48" s="128">
        <f t="shared" si="1"/>
        <v>4.4208979893394937E-2</v>
      </c>
      <c r="AI48" s="128">
        <f t="shared" si="1"/>
        <v>4.4208979893394937E-2</v>
      </c>
      <c r="AJ48" s="128">
        <f t="shared" si="1"/>
        <v>4.4208979893394937E-2</v>
      </c>
      <c r="AK48" s="128">
        <f t="shared" si="1"/>
        <v>4.4208979893394937E-2</v>
      </c>
      <c r="AL48" s="128">
        <f t="shared" si="1"/>
        <v>4.4208979893394937E-2</v>
      </c>
      <c r="AM48" s="128">
        <f t="shared" si="1"/>
        <v>4.4208979893394937E-2</v>
      </c>
      <c r="AN48" s="128">
        <f t="shared" si="1"/>
        <v>4.4208979893394937E-2</v>
      </c>
      <c r="AO48" s="128">
        <f t="shared" si="1"/>
        <v>4.4208979893394937E-2</v>
      </c>
      <c r="AP48" s="128">
        <f t="shared" si="1"/>
        <v>4.4208979893394937E-2</v>
      </c>
      <c r="AQ48" s="128">
        <f t="shared" si="1"/>
        <v>4.4208979893394937E-2</v>
      </c>
      <c r="AR48" s="128">
        <f t="shared" si="1"/>
        <v>4.4208979893394937E-2</v>
      </c>
    </row>
    <row r="49" spans="1:45" x14ac:dyDescent="0.2">
      <c r="A49" s="127" t="s">
        <v>278</v>
      </c>
      <c r="B49" s="128">
        <f>C140</f>
        <v>7.8163170639641913E-2</v>
      </c>
      <c r="C49" s="128">
        <f t="shared" ref="C49:AS49" si="2">D140</f>
        <v>0.13490578638953354</v>
      </c>
      <c r="D49" s="128">
        <f t="shared" si="2"/>
        <v>0.18507881348092603</v>
      </c>
      <c r="E49" s="128">
        <f t="shared" si="2"/>
        <v>0.23746993891819246</v>
      </c>
      <c r="F49" s="128">
        <f t="shared" si="2"/>
        <v>0.29217722256650736</v>
      </c>
      <c r="G49" s="128">
        <f t="shared" si="2"/>
        <v>0.34930305941765294</v>
      </c>
      <c r="H49" s="128">
        <f t="shared" si="2"/>
        <v>0.40895437124154421</v>
      </c>
      <c r="I49" s="128">
        <f t="shared" si="2"/>
        <v>0.47124280671047258</v>
      </c>
      <c r="J49" s="128">
        <f t="shared" si="2"/>
        <v>0.53628495037063773</v>
      </c>
      <c r="K49" s="128">
        <f t="shared" si="2"/>
        <v>0.60420254085209835</v>
      </c>
      <c r="L49" s="128">
        <f t="shared" si="2"/>
        <v>0.67512269872556185</v>
      </c>
      <c r="M49" s="128">
        <f t="shared" si="2"/>
        <v>0.74917816443248952</v>
      </c>
      <c r="N49" s="128">
        <f t="shared" si="2"/>
        <v>0.82650754673385074</v>
      </c>
      <c r="O49" s="128">
        <f t="shared" si="2"/>
        <v>0.90725558214254165</v>
      </c>
      <c r="P49" s="128">
        <f t="shared" si="2"/>
        <v>0.99157340582504649</v>
      </c>
      <c r="Q49" s="128">
        <f t="shared" si="2"/>
        <v>1.079618834479386</v>
      </c>
      <c r="R49" s="128">
        <f t="shared" si="2"/>
        <v>1.1715566617188107</v>
      </c>
      <c r="S49" s="128">
        <f t="shared" si="2"/>
        <v>1.2675589665141054</v>
      </c>
      <c r="T49" s="128">
        <f t="shared" si="2"/>
        <v>1.3678054352718148</v>
      </c>
      <c r="U49" s="128">
        <f t="shared" si="2"/>
        <v>1.4724836981512177</v>
      </c>
      <c r="V49" s="128">
        <f t="shared" si="2"/>
        <v>1.5817896802495315</v>
      </c>
      <c r="W49" s="128">
        <f t="shared" si="2"/>
        <v>1.6959279683126574</v>
      </c>
      <c r="X49" s="128">
        <f t="shared" si="2"/>
        <v>1.8151121936578325</v>
      </c>
      <c r="Y49" s="128">
        <f t="shared" si="2"/>
        <v>1.9395654320249025</v>
      </c>
      <c r="Z49" s="128">
        <f t="shared" si="2"/>
        <v>2.0695206211046102</v>
      </c>
      <c r="AA49" s="128">
        <f t="shared" si="2"/>
        <v>2.2052209965253851</v>
      </c>
      <c r="AB49" s="128">
        <f t="shared" si="2"/>
        <v>2.3469205471146628</v>
      </c>
      <c r="AC49" s="128">
        <f t="shared" si="2"/>
        <v>2.4948844902868452</v>
      </c>
      <c r="AD49" s="128">
        <f t="shared" si="2"/>
        <v>2.6493897684476742</v>
      </c>
      <c r="AE49" s="128">
        <f t="shared" si="2"/>
        <v>2.8107255673441385</v>
      </c>
      <c r="AF49" s="128">
        <f t="shared" si="2"/>
        <v>2.9791938573301016</v>
      </c>
      <c r="AG49" s="128">
        <f t="shared" si="2"/>
        <v>3.1551099585607281</v>
      </c>
      <c r="AH49" s="128">
        <f t="shared" si="2"/>
        <v>3.3388031311735844</v>
      </c>
      <c r="AI49" s="128">
        <f t="shared" si="2"/>
        <v>3.5306171915610358</v>
      </c>
      <c r="AJ49" s="128">
        <f t="shared" si="2"/>
        <v>3.7309111558874273</v>
      </c>
      <c r="AK49" s="128">
        <f t="shared" si="2"/>
        <v>3.9400599120554922</v>
      </c>
      <c r="AL49" s="128">
        <f t="shared" si="2"/>
        <v>4.1584549213797199</v>
      </c>
      <c r="AM49" s="128">
        <f t="shared" si="2"/>
        <v>4.3865049512799796</v>
      </c>
      <c r="AN49" s="128">
        <f t="shared" si="2"/>
        <v>4.6246368403667883</v>
      </c>
      <c r="AO49" s="128">
        <f t="shared" si="2"/>
        <v>4.8732962973502119</v>
      </c>
      <c r="AP49" s="128">
        <f t="shared" si="2"/>
        <v>5.1329487352677177</v>
      </c>
      <c r="AQ49" s="128">
        <f t="shared" si="2"/>
        <v>5.4040801425923899</v>
      </c>
      <c r="AR49" s="128">
        <f t="shared" si="2"/>
        <v>5.6871979928519467</v>
      </c>
    </row>
    <row r="50" spans="1:45" ht="16.5" thickBot="1" x14ac:dyDescent="0.25">
      <c r="A50" s="129" t="s">
        <v>279</v>
      </c>
      <c r="B50" s="130">
        <f>IF($B$127="да",($B$129-0.05),0)</f>
        <v>0</v>
      </c>
      <c r="C50" s="130">
        <f>(D108+D109+D110)*(1+C49)</f>
        <v>2537325.6514405077</v>
      </c>
      <c r="D50" s="130">
        <f t="shared" ref="D50:AS50" si="3">(E108+E109+E110)*(1+D49)</f>
        <v>5654836.0470358161</v>
      </c>
      <c r="E50" s="130">
        <f t="shared" si="3"/>
        <v>9170069.8029053919</v>
      </c>
      <c r="F50" s="130">
        <f t="shared" si="3"/>
        <v>9958500.7416231558</v>
      </c>
      <c r="G50" s="130">
        <f t="shared" si="3"/>
        <v>10398755.900677932</v>
      </c>
      <c r="H50" s="130">
        <f t="shared" si="3"/>
        <v>10858474.291207325</v>
      </c>
      <c r="I50" s="130">
        <f t="shared" si="3"/>
        <v>11338516.362820257</v>
      </c>
      <c r="J50" s="130">
        <f t="shared" si="3"/>
        <v>11839780.604725106</v>
      </c>
      <c r="K50" s="130">
        <f t="shared" si="3"/>
        <v>12363205.227421604</v>
      </c>
      <c r="L50" s="130">
        <f t="shared" si="3"/>
        <v>12909769.918738602</v>
      </c>
      <c r="M50" s="130">
        <f t="shared" si="3"/>
        <v>13480497.677504469</v>
      </c>
      <c r="N50" s="130">
        <f t="shared" si="3"/>
        <v>14076456.728282221</v>
      </c>
      <c r="O50" s="130">
        <f t="shared" si="3"/>
        <v>14698762.520753093</v>
      </c>
      <c r="P50" s="130">
        <f t="shared" si="3"/>
        <v>15348579.817490853</v>
      </c>
      <c r="Q50" s="130">
        <f t="shared" si="3"/>
        <v>16027124.874034474</v>
      </c>
      <c r="R50" s="130">
        <f t="shared" si="3"/>
        <v>16735667.715339594</v>
      </c>
      <c r="S50" s="130">
        <f t="shared" si="3"/>
        <v>17475534.512869582</v>
      </c>
      <c r="T50" s="130">
        <f t="shared" si="3"/>
        <v>18248110.066775359</v>
      </c>
      <c r="U50" s="130">
        <f t="shared" si="3"/>
        <v>19054840.397809889</v>
      </c>
      <c r="V50" s="130">
        <f t="shared" si="3"/>
        <v>19897235.453828517</v>
      </c>
      <c r="W50" s="130">
        <f t="shared" si="3"/>
        <v>20776871.935940962</v>
      </c>
      <c r="X50" s="130">
        <f t="shared" si="3"/>
        <v>21695396.249604616</v>
      </c>
      <c r="Y50" s="130">
        <f t="shared" si="3"/>
        <v>22654527.586182624</v>
      </c>
      <c r="Z50" s="130">
        <f t="shared" si="3"/>
        <v>23656061.140734531</v>
      </c>
      <c r="AA50" s="130">
        <f t="shared" si="3"/>
        <v>24701871.472062185</v>
      </c>
      <c r="AB50" s="130">
        <f t="shared" si="3"/>
        <v>25793916.011299808</v>
      </c>
      <c r="AC50" s="130">
        <f t="shared" si="3"/>
        <v>26934238.725615278</v>
      </c>
      <c r="AD50" s="130">
        <f t="shared" si="3"/>
        <v>28124973.943879902</v>
      </c>
      <c r="AE50" s="130">
        <f t="shared" si="3"/>
        <v>29368350.351467144</v>
      </c>
      <c r="AF50" s="130">
        <f t="shared" si="3"/>
        <v>30666695.161657333</v>
      </c>
      <c r="AG50" s="130">
        <f t="shared" si="3"/>
        <v>32022438.471455913</v>
      </c>
      <c r="AH50" s="130">
        <f t="shared" si="3"/>
        <v>33438117.809977982</v>
      </c>
      <c r="AI50" s="130">
        <f t="shared" si="3"/>
        <v>34916382.887912266</v>
      </c>
      <c r="AJ50" s="130">
        <f t="shared" si="3"/>
        <v>36460000.556954063</v>
      </c>
      <c r="AK50" s="130">
        <f t="shared" si="3"/>
        <v>38071859.988489605</v>
      </c>
      <c r="AL50" s="130">
        <f t="shared" si="3"/>
        <v>39754978.081224896</v>
      </c>
      <c r="AM50" s="130">
        <f t="shared" si="3"/>
        <v>41512505.107880116</v>
      </c>
      <c r="AN50" s="130">
        <f t="shared" si="3"/>
        <v>43347730.611518845</v>
      </c>
      <c r="AO50" s="130">
        <f t="shared" si="3"/>
        <v>45264089.562547781</v>
      </c>
      <c r="AP50" s="130">
        <f t="shared" si="3"/>
        <v>0</v>
      </c>
      <c r="AQ50" s="130">
        <f t="shared" si="3"/>
        <v>0</v>
      </c>
      <c r="AR50" s="130">
        <f t="shared" si="3"/>
        <v>0</v>
      </c>
    </row>
    <row r="51" spans="1:45" ht="16.5" thickBot="1" x14ac:dyDescent="0.25"/>
    <row r="52" spans="1:45" x14ac:dyDescent="0.2">
      <c r="A52" s="131" t="s">
        <v>280</v>
      </c>
      <c r="B52" s="132">
        <f>B58</f>
        <v>1</v>
      </c>
      <c r="C52" s="132">
        <f t="shared" ref="C52:AO52" si="4">C58</f>
        <v>2</v>
      </c>
      <c r="D52" s="132">
        <f t="shared" si="4"/>
        <v>3</v>
      </c>
      <c r="E52" s="132">
        <f t="shared" si="4"/>
        <v>4</v>
      </c>
      <c r="F52" s="132">
        <f t="shared" si="4"/>
        <v>5</v>
      </c>
      <c r="G52" s="132">
        <f t="shared" si="4"/>
        <v>6</v>
      </c>
      <c r="H52" s="132">
        <f t="shared" si="4"/>
        <v>7</v>
      </c>
      <c r="I52" s="132">
        <f t="shared" si="4"/>
        <v>8</v>
      </c>
      <c r="J52" s="132">
        <f t="shared" si="4"/>
        <v>9</v>
      </c>
      <c r="K52" s="132">
        <f t="shared" si="4"/>
        <v>10</v>
      </c>
      <c r="L52" s="132">
        <f t="shared" si="4"/>
        <v>11</v>
      </c>
      <c r="M52" s="132">
        <f t="shared" si="4"/>
        <v>12</v>
      </c>
      <c r="N52" s="132">
        <f t="shared" si="4"/>
        <v>13</v>
      </c>
      <c r="O52" s="132">
        <f t="shared" si="4"/>
        <v>14</v>
      </c>
      <c r="P52" s="132">
        <f t="shared" si="4"/>
        <v>15</v>
      </c>
      <c r="Q52" s="132">
        <f t="shared" si="4"/>
        <v>16</v>
      </c>
      <c r="R52" s="132">
        <f t="shared" si="4"/>
        <v>17</v>
      </c>
      <c r="S52" s="132">
        <f t="shared" si="4"/>
        <v>18</v>
      </c>
      <c r="T52" s="132">
        <f t="shared" si="4"/>
        <v>19</v>
      </c>
      <c r="U52" s="132">
        <f t="shared" si="4"/>
        <v>20</v>
      </c>
      <c r="V52" s="132">
        <f t="shared" si="4"/>
        <v>21</v>
      </c>
      <c r="W52" s="132">
        <f t="shared" si="4"/>
        <v>22</v>
      </c>
      <c r="X52" s="132">
        <f t="shared" si="4"/>
        <v>23</v>
      </c>
      <c r="Y52" s="132">
        <f t="shared" si="4"/>
        <v>24</v>
      </c>
      <c r="Z52" s="132">
        <f t="shared" si="4"/>
        <v>25</v>
      </c>
      <c r="AA52" s="132">
        <f t="shared" si="4"/>
        <v>26</v>
      </c>
      <c r="AB52" s="132">
        <f t="shared" si="4"/>
        <v>27</v>
      </c>
      <c r="AC52" s="132">
        <f t="shared" si="4"/>
        <v>28</v>
      </c>
      <c r="AD52" s="132">
        <f t="shared" si="4"/>
        <v>29</v>
      </c>
      <c r="AE52" s="132">
        <f t="shared" si="4"/>
        <v>30</v>
      </c>
      <c r="AF52" s="132">
        <f t="shared" si="4"/>
        <v>31</v>
      </c>
      <c r="AG52" s="132">
        <f t="shared" si="4"/>
        <v>32</v>
      </c>
      <c r="AH52" s="132">
        <f t="shared" si="4"/>
        <v>33</v>
      </c>
      <c r="AI52" s="132">
        <f t="shared" si="4"/>
        <v>34</v>
      </c>
      <c r="AJ52" s="132">
        <f t="shared" si="4"/>
        <v>35</v>
      </c>
      <c r="AK52" s="132">
        <f t="shared" si="4"/>
        <v>36</v>
      </c>
      <c r="AL52" s="132">
        <f t="shared" si="4"/>
        <v>37</v>
      </c>
      <c r="AM52" s="132">
        <f t="shared" si="4"/>
        <v>38</v>
      </c>
      <c r="AN52" s="132">
        <f t="shared" si="4"/>
        <v>39</v>
      </c>
      <c r="AO52" s="132">
        <f t="shared" si="4"/>
        <v>40</v>
      </c>
      <c r="AP52" s="132">
        <f>AP58</f>
        <v>41</v>
      </c>
    </row>
    <row r="53" spans="1:45" x14ac:dyDescent="0.2">
      <c r="A53" s="133" t="s">
        <v>281</v>
      </c>
      <c r="B53" s="134">
        <v>0</v>
      </c>
      <c r="C53" s="134">
        <f t="shared" ref="C53:AP53" si="5">B53+B54-B55</f>
        <v>0</v>
      </c>
      <c r="D53" s="134">
        <f t="shared" si="5"/>
        <v>0</v>
      </c>
      <c r="E53" s="134">
        <f t="shared" si="5"/>
        <v>0</v>
      </c>
      <c r="F53" s="134">
        <f t="shared" si="5"/>
        <v>0</v>
      </c>
      <c r="G53" s="134">
        <f t="shared" si="5"/>
        <v>0</v>
      </c>
      <c r="H53" s="134">
        <f t="shared" si="5"/>
        <v>0</v>
      </c>
      <c r="I53" s="134">
        <f t="shared" si="5"/>
        <v>0</v>
      </c>
      <c r="J53" s="134">
        <f t="shared" si="5"/>
        <v>0</v>
      </c>
      <c r="K53" s="134">
        <f t="shared" si="5"/>
        <v>0</v>
      </c>
      <c r="L53" s="134">
        <f t="shared" si="5"/>
        <v>0</v>
      </c>
      <c r="M53" s="134">
        <f t="shared" si="5"/>
        <v>0</v>
      </c>
      <c r="N53" s="134">
        <f t="shared" si="5"/>
        <v>0</v>
      </c>
      <c r="O53" s="134">
        <f t="shared" si="5"/>
        <v>0</v>
      </c>
      <c r="P53" s="134">
        <f t="shared" si="5"/>
        <v>0</v>
      </c>
      <c r="Q53" s="134">
        <f t="shared" si="5"/>
        <v>0</v>
      </c>
      <c r="R53" s="134">
        <f t="shared" si="5"/>
        <v>0</v>
      </c>
      <c r="S53" s="134">
        <f t="shared" si="5"/>
        <v>0</v>
      </c>
      <c r="T53" s="134">
        <f t="shared" si="5"/>
        <v>0</v>
      </c>
      <c r="U53" s="134">
        <f t="shared" si="5"/>
        <v>0</v>
      </c>
      <c r="V53" s="134">
        <f t="shared" si="5"/>
        <v>0</v>
      </c>
      <c r="W53" s="134">
        <f t="shared" si="5"/>
        <v>0</v>
      </c>
      <c r="X53" s="134">
        <f t="shared" si="5"/>
        <v>0</v>
      </c>
      <c r="Y53" s="134">
        <f t="shared" si="5"/>
        <v>0</v>
      </c>
      <c r="Z53" s="134">
        <f t="shared" si="5"/>
        <v>0</v>
      </c>
      <c r="AA53" s="134">
        <f t="shared" si="5"/>
        <v>0</v>
      </c>
      <c r="AB53" s="134">
        <f t="shared" si="5"/>
        <v>0</v>
      </c>
      <c r="AC53" s="134">
        <f t="shared" si="5"/>
        <v>0</v>
      </c>
      <c r="AD53" s="134">
        <f t="shared" si="5"/>
        <v>0</v>
      </c>
      <c r="AE53" s="134">
        <f t="shared" si="5"/>
        <v>0</v>
      </c>
      <c r="AF53" s="134">
        <f t="shared" si="5"/>
        <v>0</v>
      </c>
      <c r="AG53" s="134">
        <f t="shared" si="5"/>
        <v>0</v>
      </c>
      <c r="AH53" s="134">
        <f t="shared" si="5"/>
        <v>0</v>
      </c>
      <c r="AI53" s="134">
        <f t="shared" si="5"/>
        <v>0</v>
      </c>
      <c r="AJ53" s="134">
        <f t="shared" si="5"/>
        <v>0</v>
      </c>
      <c r="AK53" s="134">
        <f t="shared" si="5"/>
        <v>0</v>
      </c>
      <c r="AL53" s="134">
        <f t="shared" si="5"/>
        <v>0</v>
      </c>
      <c r="AM53" s="134">
        <f t="shared" si="5"/>
        <v>0</v>
      </c>
      <c r="AN53" s="134">
        <f t="shared" si="5"/>
        <v>0</v>
      </c>
      <c r="AO53" s="134">
        <f t="shared" si="5"/>
        <v>0</v>
      </c>
      <c r="AP53" s="134">
        <f t="shared" si="5"/>
        <v>0</v>
      </c>
    </row>
    <row r="54" spans="1:45" x14ac:dyDescent="0.2">
      <c r="A54" s="133" t="s">
        <v>282</v>
      </c>
      <c r="B54" s="134">
        <f>B25*B28*B43*1.18</f>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c r="AH54" s="134">
        <v>0</v>
      </c>
      <c r="AI54" s="134">
        <v>0</v>
      </c>
      <c r="AJ54" s="134">
        <v>0</v>
      </c>
      <c r="AK54" s="134">
        <v>0</v>
      </c>
      <c r="AL54" s="134">
        <v>0</v>
      </c>
      <c r="AM54" s="134">
        <v>0</v>
      </c>
      <c r="AN54" s="134">
        <v>0</v>
      </c>
      <c r="AO54" s="134">
        <v>0</v>
      </c>
      <c r="AP54" s="134">
        <v>0</v>
      </c>
    </row>
    <row r="55" spans="1:45" x14ac:dyDescent="0.2">
      <c r="A55" s="133" t="s">
        <v>283</v>
      </c>
      <c r="B55" s="134">
        <f>$B$54/$B$40</f>
        <v>0</v>
      </c>
      <c r="C55" s="134">
        <f t="shared" ref="C55:AP55" si="6">IF(ROUND(C53,1)=0,0,B55+C54/$B$40)</f>
        <v>0</v>
      </c>
      <c r="D55" s="134">
        <f t="shared" si="6"/>
        <v>0</v>
      </c>
      <c r="E55" s="134">
        <f t="shared" si="6"/>
        <v>0</v>
      </c>
      <c r="F55" s="134">
        <f t="shared" si="6"/>
        <v>0</v>
      </c>
      <c r="G55" s="134">
        <f t="shared" si="6"/>
        <v>0</v>
      </c>
      <c r="H55" s="134">
        <f t="shared" si="6"/>
        <v>0</v>
      </c>
      <c r="I55" s="134">
        <f t="shared" si="6"/>
        <v>0</v>
      </c>
      <c r="J55" s="134">
        <f t="shared" si="6"/>
        <v>0</v>
      </c>
      <c r="K55" s="134">
        <f t="shared" si="6"/>
        <v>0</v>
      </c>
      <c r="L55" s="134">
        <f t="shared" si="6"/>
        <v>0</v>
      </c>
      <c r="M55" s="134">
        <f t="shared" si="6"/>
        <v>0</v>
      </c>
      <c r="N55" s="134">
        <f t="shared" si="6"/>
        <v>0</v>
      </c>
      <c r="O55" s="134">
        <f t="shared" si="6"/>
        <v>0</v>
      </c>
      <c r="P55" s="134">
        <f t="shared" si="6"/>
        <v>0</v>
      </c>
      <c r="Q55" s="134">
        <f t="shared" si="6"/>
        <v>0</v>
      </c>
      <c r="R55" s="134">
        <f t="shared" si="6"/>
        <v>0</v>
      </c>
      <c r="S55" s="134">
        <f t="shared" si="6"/>
        <v>0</v>
      </c>
      <c r="T55" s="134">
        <f t="shared" si="6"/>
        <v>0</v>
      </c>
      <c r="U55" s="134">
        <f t="shared" si="6"/>
        <v>0</v>
      </c>
      <c r="V55" s="134">
        <f t="shared" si="6"/>
        <v>0</v>
      </c>
      <c r="W55" s="134">
        <f t="shared" si="6"/>
        <v>0</v>
      </c>
      <c r="X55" s="134">
        <f t="shared" si="6"/>
        <v>0</v>
      </c>
      <c r="Y55" s="134">
        <f t="shared" si="6"/>
        <v>0</v>
      </c>
      <c r="Z55" s="134">
        <f t="shared" si="6"/>
        <v>0</v>
      </c>
      <c r="AA55" s="134">
        <f t="shared" si="6"/>
        <v>0</v>
      </c>
      <c r="AB55" s="134">
        <f t="shared" si="6"/>
        <v>0</v>
      </c>
      <c r="AC55" s="134">
        <f t="shared" si="6"/>
        <v>0</v>
      </c>
      <c r="AD55" s="134">
        <f t="shared" si="6"/>
        <v>0</v>
      </c>
      <c r="AE55" s="134">
        <f t="shared" si="6"/>
        <v>0</v>
      </c>
      <c r="AF55" s="134">
        <f t="shared" si="6"/>
        <v>0</v>
      </c>
      <c r="AG55" s="134">
        <f t="shared" si="6"/>
        <v>0</v>
      </c>
      <c r="AH55" s="134">
        <f t="shared" si="6"/>
        <v>0</v>
      </c>
      <c r="AI55" s="134">
        <f t="shared" si="6"/>
        <v>0</v>
      </c>
      <c r="AJ55" s="134">
        <f t="shared" si="6"/>
        <v>0</v>
      </c>
      <c r="AK55" s="134">
        <f t="shared" si="6"/>
        <v>0</v>
      </c>
      <c r="AL55" s="134">
        <f t="shared" si="6"/>
        <v>0</v>
      </c>
      <c r="AM55" s="134">
        <f t="shared" si="6"/>
        <v>0</v>
      </c>
      <c r="AN55" s="134">
        <f t="shared" si="6"/>
        <v>0</v>
      </c>
      <c r="AO55" s="134">
        <f t="shared" si="6"/>
        <v>0</v>
      </c>
      <c r="AP55" s="134">
        <f t="shared" si="6"/>
        <v>0</v>
      </c>
    </row>
    <row r="56" spans="1:45" x14ac:dyDescent="0.2">
      <c r="A56" s="135" t="s">
        <v>284</v>
      </c>
      <c r="B56" s="136">
        <f t="shared" ref="B56:AP56" si="7">AVERAGE(SUM(B53:B54),(SUM(B53:B54)-B55))*$B$42</f>
        <v>0</v>
      </c>
      <c r="C56" s="136">
        <f t="shared" si="7"/>
        <v>0</v>
      </c>
      <c r="D56" s="136">
        <f t="shared" si="7"/>
        <v>0</v>
      </c>
      <c r="E56" s="136">
        <f t="shared" si="7"/>
        <v>0</v>
      </c>
      <c r="F56" s="136">
        <f t="shared" si="7"/>
        <v>0</v>
      </c>
      <c r="G56" s="136">
        <f t="shared" si="7"/>
        <v>0</v>
      </c>
      <c r="H56" s="136">
        <f t="shared" si="7"/>
        <v>0</v>
      </c>
      <c r="I56" s="136">
        <f t="shared" si="7"/>
        <v>0</v>
      </c>
      <c r="J56" s="136">
        <f t="shared" si="7"/>
        <v>0</v>
      </c>
      <c r="K56" s="136">
        <f t="shared" si="7"/>
        <v>0</v>
      </c>
      <c r="L56" s="136">
        <f t="shared" si="7"/>
        <v>0</v>
      </c>
      <c r="M56" s="136">
        <f t="shared" si="7"/>
        <v>0</v>
      </c>
      <c r="N56" s="136">
        <f t="shared" si="7"/>
        <v>0</v>
      </c>
      <c r="O56" s="136">
        <f t="shared" si="7"/>
        <v>0</v>
      </c>
      <c r="P56" s="136">
        <f t="shared" si="7"/>
        <v>0</v>
      </c>
      <c r="Q56" s="136">
        <f t="shared" si="7"/>
        <v>0</v>
      </c>
      <c r="R56" s="136">
        <f t="shared" si="7"/>
        <v>0</v>
      </c>
      <c r="S56" s="136">
        <f t="shared" si="7"/>
        <v>0</v>
      </c>
      <c r="T56" s="136">
        <f t="shared" si="7"/>
        <v>0</v>
      </c>
      <c r="U56" s="136">
        <f t="shared" si="7"/>
        <v>0</v>
      </c>
      <c r="V56" s="136">
        <f t="shared" si="7"/>
        <v>0</v>
      </c>
      <c r="W56" s="136">
        <f t="shared" si="7"/>
        <v>0</v>
      </c>
      <c r="X56" s="136">
        <f t="shared" si="7"/>
        <v>0</v>
      </c>
      <c r="Y56" s="136">
        <f t="shared" si="7"/>
        <v>0</v>
      </c>
      <c r="Z56" s="136">
        <f t="shared" si="7"/>
        <v>0</v>
      </c>
      <c r="AA56" s="136">
        <f t="shared" si="7"/>
        <v>0</v>
      </c>
      <c r="AB56" s="136">
        <f t="shared" si="7"/>
        <v>0</v>
      </c>
      <c r="AC56" s="136">
        <f t="shared" si="7"/>
        <v>0</v>
      </c>
      <c r="AD56" s="136">
        <f t="shared" si="7"/>
        <v>0</v>
      </c>
      <c r="AE56" s="136">
        <f t="shared" si="7"/>
        <v>0</v>
      </c>
      <c r="AF56" s="136">
        <f t="shared" si="7"/>
        <v>0</v>
      </c>
      <c r="AG56" s="136">
        <f t="shared" si="7"/>
        <v>0</v>
      </c>
      <c r="AH56" s="136">
        <f t="shared" si="7"/>
        <v>0</v>
      </c>
      <c r="AI56" s="136">
        <f t="shared" si="7"/>
        <v>0</v>
      </c>
      <c r="AJ56" s="136">
        <f t="shared" si="7"/>
        <v>0</v>
      </c>
      <c r="AK56" s="136">
        <f t="shared" si="7"/>
        <v>0</v>
      </c>
      <c r="AL56" s="136">
        <f t="shared" si="7"/>
        <v>0</v>
      </c>
      <c r="AM56" s="136">
        <f t="shared" si="7"/>
        <v>0</v>
      </c>
      <c r="AN56" s="136">
        <f t="shared" si="7"/>
        <v>0</v>
      </c>
      <c r="AO56" s="136">
        <f t="shared" si="7"/>
        <v>0</v>
      </c>
      <c r="AP56" s="136">
        <f t="shared" si="7"/>
        <v>0</v>
      </c>
    </row>
    <row r="57" spans="1:45" s="137" customFormat="1" x14ac:dyDescent="0.2">
      <c r="A57" s="138"/>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39"/>
      <c r="AN57" s="139"/>
      <c r="AO57" s="139"/>
      <c r="AP57" s="139"/>
      <c r="AQ57" s="91"/>
      <c r="AR57" s="91"/>
      <c r="AS57" s="91"/>
    </row>
    <row r="58" spans="1:45" x14ac:dyDescent="0.2">
      <c r="A58" s="131" t="s">
        <v>285</v>
      </c>
      <c r="B58" s="132">
        <v>1</v>
      </c>
      <c r="C58" s="132">
        <f>B58+1</f>
        <v>2</v>
      </c>
      <c r="D58" s="132">
        <f t="shared" ref="D58:AP58" si="8">C58+1</f>
        <v>3</v>
      </c>
      <c r="E58" s="132">
        <f t="shared" si="8"/>
        <v>4</v>
      </c>
      <c r="F58" s="132">
        <f t="shared" si="8"/>
        <v>5</v>
      </c>
      <c r="G58" s="132">
        <f t="shared" si="8"/>
        <v>6</v>
      </c>
      <c r="H58" s="132">
        <f t="shared" si="8"/>
        <v>7</v>
      </c>
      <c r="I58" s="132">
        <f t="shared" si="8"/>
        <v>8</v>
      </c>
      <c r="J58" s="132">
        <f t="shared" si="8"/>
        <v>9</v>
      </c>
      <c r="K58" s="132">
        <f t="shared" si="8"/>
        <v>10</v>
      </c>
      <c r="L58" s="132">
        <f t="shared" si="8"/>
        <v>11</v>
      </c>
      <c r="M58" s="132">
        <f t="shared" si="8"/>
        <v>12</v>
      </c>
      <c r="N58" s="132">
        <f t="shared" si="8"/>
        <v>13</v>
      </c>
      <c r="O58" s="132">
        <f t="shared" si="8"/>
        <v>14</v>
      </c>
      <c r="P58" s="132">
        <f t="shared" si="8"/>
        <v>15</v>
      </c>
      <c r="Q58" s="132">
        <f t="shared" si="8"/>
        <v>16</v>
      </c>
      <c r="R58" s="132">
        <f t="shared" si="8"/>
        <v>17</v>
      </c>
      <c r="S58" s="132">
        <f t="shared" si="8"/>
        <v>18</v>
      </c>
      <c r="T58" s="132">
        <f t="shared" si="8"/>
        <v>19</v>
      </c>
      <c r="U58" s="132">
        <f t="shared" si="8"/>
        <v>20</v>
      </c>
      <c r="V58" s="132">
        <f t="shared" si="8"/>
        <v>21</v>
      </c>
      <c r="W58" s="132">
        <f t="shared" si="8"/>
        <v>22</v>
      </c>
      <c r="X58" s="132">
        <f t="shared" si="8"/>
        <v>23</v>
      </c>
      <c r="Y58" s="132">
        <f t="shared" si="8"/>
        <v>24</v>
      </c>
      <c r="Z58" s="132">
        <f t="shared" si="8"/>
        <v>25</v>
      </c>
      <c r="AA58" s="132">
        <f t="shared" si="8"/>
        <v>26</v>
      </c>
      <c r="AB58" s="132">
        <f t="shared" si="8"/>
        <v>27</v>
      </c>
      <c r="AC58" s="132">
        <f t="shared" si="8"/>
        <v>28</v>
      </c>
      <c r="AD58" s="132">
        <f t="shared" si="8"/>
        <v>29</v>
      </c>
      <c r="AE58" s="132">
        <f t="shared" si="8"/>
        <v>30</v>
      </c>
      <c r="AF58" s="132">
        <f t="shared" si="8"/>
        <v>31</v>
      </c>
      <c r="AG58" s="132">
        <f t="shared" si="8"/>
        <v>32</v>
      </c>
      <c r="AH58" s="132">
        <f t="shared" si="8"/>
        <v>33</v>
      </c>
      <c r="AI58" s="132">
        <f t="shared" si="8"/>
        <v>34</v>
      </c>
      <c r="AJ58" s="132">
        <f t="shared" si="8"/>
        <v>35</v>
      </c>
      <c r="AK58" s="132">
        <f t="shared" si="8"/>
        <v>36</v>
      </c>
      <c r="AL58" s="132">
        <f t="shared" si="8"/>
        <v>37</v>
      </c>
      <c r="AM58" s="132">
        <f t="shared" si="8"/>
        <v>38</v>
      </c>
      <c r="AN58" s="132">
        <f t="shared" si="8"/>
        <v>39</v>
      </c>
      <c r="AO58" s="132">
        <f t="shared" si="8"/>
        <v>40</v>
      </c>
      <c r="AP58" s="132">
        <f t="shared" si="8"/>
        <v>41</v>
      </c>
    </row>
    <row r="59" spans="1:45" ht="14.25" x14ac:dyDescent="0.2">
      <c r="A59" s="140" t="s">
        <v>286</v>
      </c>
      <c r="B59" s="141">
        <f t="shared" ref="B59:AP59" si="9">B50*$B$28</f>
        <v>0</v>
      </c>
      <c r="C59" s="141">
        <f t="shared" si="9"/>
        <v>2537325.6514405077</v>
      </c>
      <c r="D59" s="141">
        <f t="shared" si="9"/>
        <v>5654836.0470358161</v>
      </c>
      <c r="E59" s="141">
        <f t="shared" si="9"/>
        <v>9170069.8029053919</v>
      </c>
      <c r="F59" s="141">
        <f t="shared" si="9"/>
        <v>9958500.7416231558</v>
      </c>
      <c r="G59" s="141">
        <f t="shared" si="9"/>
        <v>10398755.900677932</v>
      </c>
      <c r="H59" s="141">
        <f t="shared" si="9"/>
        <v>10858474.291207325</v>
      </c>
      <c r="I59" s="141">
        <f t="shared" si="9"/>
        <v>11338516.362820257</v>
      </c>
      <c r="J59" s="141">
        <f t="shared" si="9"/>
        <v>11839780.604725106</v>
      </c>
      <c r="K59" s="141">
        <f t="shared" si="9"/>
        <v>12363205.227421604</v>
      </c>
      <c r="L59" s="141">
        <f t="shared" si="9"/>
        <v>12909769.918738602</v>
      </c>
      <c r="M59" s="141">
        <f t="shared" si="9"/>
        <v>13480497.677504469</v>
      </c>
      <c r="N59" s="141">
        <f t="shared" si="9"/>
        <v>14076456.728282221</v>
      </c>
      <c r="O59" s="141">
        <f t="shared" si="9"/>
        <v>14698762.520753093</v>
      </c>
      <c r="P59" s="141">
        <f t="shared" si="9"/>
        <v>15348579.817490853</v>
      </c>
      <c r="Q59" s="141">
        <f t="shared" si="9"/>
        <v>16027124.874034474</v>
      </c>
      <c r="R59" s="141">
        <f t="shared" si="9"/>
        <v>16735667.715339594</v>
      </c>
      <c r="S59" s="141">
        <f t="shared" si="9"/>
        <v>17475534.512869582</v>
      </c>
      <c r="T59" s="141">
        <f t="shared" si="9"/>
        <v>18248110.066775359</v>
      </c>
      <c r="U59" s="141">
        <f t="shared" si="9"/>
        <v>19054840.397809889</v>
      </c>
      <c r="V59" s="141">
        <f t="shared" si="9"/>
        <v>19897235.453828517</v>
      </c>
      <c r="W59" s="141">
        <f t="shared" si="9"/>
        <v>20776871.935940962</v>
      </c>
      <c r="X59" s="141">
        <f t="shared" si="9"/>
        <v>21695396.249604616</v>
      </c>
      <c r="Y59" s="141">
        <f t="shared" si="9"/>
        <v>22654527.586182624</v>
      </c>
      <c r="Z59" s="141">
        <f t="shared" si="9"/>
        <v>23656061.140734531</v>
      </c>
      <c r="AA59" s="141">
        <f t="shared" si="9"/>
        <v>24701871.472062185</v>
      </c>
      <c r="AB59" s="141">
        <f t="shared" si="9"/>
        <v>25793916.011299808</v>
      </c>
      <c r="AC59" s="141">
        <f t="shared" si="9"/>
        <v>26934238.725615278</v>
      </c>
      <c r="AD59" s="141">
        <f t="shared" si="9"/>
        <v>28124973.943879902</v>
      </c>
      <c r="AE59" s="141">
        <f t="shared" si="9"/>
        <v>29368350.351467144</v>
      </c>
      <c r="AF59" s="141">
        <f t="shared" si="9"/>
        <v>30666695.161657333</v>
      </c>
      <c r="AG59" s="141">
        <f t="shared" si="9"/>
        <v>32022438.471455913</v>
      </c>
      <c r="AH59" s="141">
        <f t="shared" si="9"/>
        <v>33438117.809977982</v>
      </c>
      <c r="AI59" s="141">
        <f t="shared" si="9"/>
        <v>34916382.887912266</v>
      </c>
      <c r="AJ59" s="141">
        <f t="shared" si="9"/>
        <v>36460000.556954063</v>
      </c>
      <c r="AK59" s="141">
        <f t="shared" si="9"/>
        <v>38071859.988489605</v>
      </c>
      <c r="AL59" s="141">
        <f t="shared" si="9"/>
        <v>39754978.081224896</v>
      </c>
      <c r="AM59" s="141">
        <f t="shared" si="9"/>
        <v>41512505.107880116</v>
      </c>
      <c r="AN59" s="141">
        <f t="shared" si="9"/>
        <v>43347730.611518845</v>
      </c>
      <c r="AO59" s="141">
        <f t="shared" si="9"/>
        <v>45264089.562547781</v>
      </c>
      <c r="AP59" s="141">
        <f t="shared" si="9"/>
        <v>0</v>
      </c>
    </row>
    <row r="60" spans="1:45" x14ac:dyDescent="0.2">
      <c r="A60" s="133" t="s">
        <v>287</v>
      </c>
      <c r="B60" s="134">
        <f t="shared" ref="B60:Z60" si="10">SUM(B61:B65)</f>
        <v>0</v>
      </c>
      <c r="C60" s="134">
        <f t="shared" si="10"/>
        <v>0</v>
      </c>
      <c r="D60" s="134">
        <f>SUM(D61:D65)</f>
        <v>0</v>
      </c>
      <c r="E60" s="134">
        <f t="shared" si="10"/>
        <v>0</v>
      </c>
      <c r="F60" s="134">
        <f t="shared" si="10"/>
        <v>0</v>
      </c>
      <c r="G60" s="134">
        <f t="shared" si="10"/>
        <v>0</v>
      </c>
      <c r="H60" s="134">
        <f t="shared" si="10"/>
        <v>0</v>
      </c>
      <c r="I60" s="134">
        <f t="shared" si="10"/>
        <v>0</v>
      </c>
      <c r="J60" s="134">
        <f t="shared" si="10"/>
        <v>0</v>
      </c>
      <c r="K60" s="134">
        <f t="shared" si="10"/>
        <v>0</v>
      </c>
      <c r="L60" s="134">
        <f t="shared" si="10"/>
        <v>0</v>
      </c>
      <c r="M60" s="134">
        <f t="shared" si="10"/>
        <v>0</v>
      </c>
      <c r="N60" s="134">
        <f t="shared" si="10"/>
        <v>0</v>
      </c>
      <c r="O60" s="134">
        <f t="shared" si="10"/>
        <v>0</v>
      </c>
      <c r="P60" s="134">
        <f t="shared" si="10"/>
        <v>0</v>
      </c>
      <c r="Q60" s="134">
        <f t="shared" si="10"/>
        <v>0</v>
      </c>
      <c r="R60" s="134">
        <f t="shared" si="10"/>
        <v>0</v>
      </c>
      <c r="S60" s="134">
        <f t="shared" si="10"/>
        <v>0</v>
      </c>
      <c r="T60" s="134">
        <f t="shared" si="10"/>
        <v>0</v>
      </c>
      <c r="U60" s="134">
        <f t="shared" si="10"/>
        <v>0</v>
      </c>
      <c r="V60" s="134">
        <f t="shared" si="10"/>
        <v>0</v>
      </c>
      <c r="W60" s="134">
        <f t="shared" si="10"/>
        <v>0</v>
      </c>
      <c r="X60" s="134">
        <f t="shared" si="10"/>
        <v>0</v>
      </c>
      <c r="Y60" s="134">
        <f t="shared" si="10"/>
        <v>0</v>
      </c>
      <c r="Z60" s="134">
        <f t="shared" si="10"/>
        <v>0</v>
      </c>
      <c r="AA60" s="134">
        <f t="shared" ref="AA60:AP60" si="11">SUM(AA61:AA65)</f>
        <v>0</v>
      </c>
      <c r="AB60" s="134">
        <f t="shared" si="11"/>
        <v>0</v>
      </c>
      <c r="AC60" s="134">
        <f t="shared" si="11"/>
        <v>0</v>
      </c>
      <c r="AD60" s="134">
        <f t="shared" si="11"/>
        <v>0</v>
      </c>
      <c r="AE60" s="134">
        <f t="shared" si="11"/>
        <v>0</v>
      </c>
      <c r="AF60" s="134">
        <f t="shared" si="11"/>
        <v>0</v>
      </c>
      <c r="AG60" s="134">
        <f t="shared" si="11"/>
        <v>0</v>
      </c>
      <c r="AH60" s="134">
        <f t="shared" si="11"/>
        <v>0</v>
      </c>
      <c r="AI60" s="134">
        <f t="shared" si="11"/>
        <v>0</v>
      </c>
      <c r="AJ60" s="134">
        <f t="shared" si="11"/>
        <v>0</v>
      </c>
      <c r="AK60" s="134">
        <f t="shared" si="11"/>
        <v>0</v>
      </c>
      <c r="AL60" s="134">
        <f t="shared" si="11"/>
        <v>0</v>
      </c>
      <c r="AM60" s="134">
        <f t="shared" si="11"/>
        <v>0</v>
      </c>
      <c r="AN60" s="134">
        <f t="shared" si="11"/>
        <v>0</v>
      </c>
      <c r="AO60" s="134">
        <f t="shared" si="11"/>
        <v>0</v>
      </c>
      <c r="AP60" s="134">
        <f t="shared" si="11"/>
        <v>0</v>
      </c>
    </row>
    <row r="61" spans="1:45" x14ac:dyDescent="0.2">
      <c r="A61" s="142" t="s">
        <v>288</v>
      </c>
      <c r="B61" s="134"/>
      <c r="C61" s="134">
        <f>-IF(C$47&lt;=$B$30,0,$B$29*(1+C$49)*$B$28)</f>
        <v>0</v>
      </c>
      <c r="D61" s="134">
        <f>-IF(D$47&lt;=$B$30,0,$B$29*(1+D$49)*$B$28)</f>
        <v>0</v>
      </c>
      <c r="E61" s="134">
        <f t="shared" ref="E61:AL61" si="12">-IF(E$47&lt;=$B$30,0,$B$29*(1+E$49)*$B$28)</f>
        <v>0</v>
      </c>
      <c r="F61" s="134">
        <f t="shared" si="12"/>
        <v>0</v>
      </c>
      <c r="G61" s="134">
        <f t="shared" si="12"/>
        <v>0</v>
      </c>
      <c r="H61" s="134">
        <f t="shared" si="12"/>
        <v>0</v>
      </c>
      <c r="I61" s="134"/>
      <c r="J61" s="134"/>
      <c r="K61" s="134"/>
      <c r="L61" s="134"/>
      <c r="M61" s="134"/>
      <c r="N61" s="134">
        <f t="shared" si="12"/>
        <v>0</v>
      </c>
      <c r="O61" s="134"/>
      <c r="P61" s="134"/>
      <c r="Q61" s="134"/>
      <c r="R61" s="134"/>
      <c r="S61" s="134"/>
      <c r="T61" s="134">
        <f t="shared" si="12"/>
        <v>0</v>
      </c>
      <c r="U61" s="134"/>
      <c r="V61" s="134"/>
      <c r="W61" s="134"/>
      <c r="X61" s="134"/>
      <c r="Y61" s="134"/>
      <c r="Z61" s="134">
        <f t="shared" si="12"/>
        <v>0</v>
      </c>
      <c r="AA61" s="134"/>
      <c r="AB61" s="134"/>
      <c r="AC61" s="134"/>
      <c r="AD61" s="134"/>
      <c r="AE61" s="134"/>
      <c r="AF61" s="134">
        <f t="shared" si="12"/>
        <v>0</v>
      </c>
      <c r="AG61" s="134"/>
      <c r="AH61" s="134"/>
      <c r="AI61" s="134"/>
      <c r="AJ61" s="134"/>
      <c r="AK61" s="134"/>
      <c r="AL61" s="134">
        <f t="shared" si="12"/>
        <v>0</v>
      </c>
      <c r="AM61" s="134"/>
      <c r="AN61" s="134"/>
      <c r="AO61" s="134"/>
      <c r="AP61" s="134"/>
    </row>
    <row r="62" spans="1:45" x14ac:dyDescent="0.2">
      <c r="A62" s="142" t="str">
        <f>A32</f>
        <v>Прочие расходы при эксплуатации объекта, руб. без НДС</v>
      </c>
      <c r="B62" s="134"/>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row>
    <row r="63" spans="1:45" x14ac:dyDescent="0.2">
      <c r="A63" s="142" t="s">
        <v>266</v>
      </c>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row>
    <row r="64" spans="1:45" x14ac:dyDescent="0.2">
      <c r="A64" s="142" t="s">
        <v>266</v>
      </c>
      <c r="B64" s="134"/>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row>
    <row r="65" spans="1:45" ht="31.5" x14ac:dyDescent="0.2">
      <c r="A65" s="142" t="s">
        <v>289</v>
      </c>
      <c r="B65" s="134"/>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row>
    <row r="66" spans="1:45" ht="28.5" x14ac:dyDescent="0.2">
      <c r="A66" s="143" t="s">
        <v>290</v>
      </c>
      <c r="B66" s="141">
        <f t="shared" ref="B66:AO66" si="13">B59+B60</f>
        <v>0</v>
      </c>
      <c r="C66" s="141">
        <f t="shared" si="13"/>
        <v>2537325.6514405077</v>
      </c>
      <c r="D66" s="141">
        <f t="shared" si="13"/>
        <v>5654836.0470358161</v>
      </c>
      <c r="E66" s="141">
        <f t="shared" si="13"/>
        <v>9170069.8029053919</v>
      </c>
      <c r="F66" s="141">
        <f t="shared" si="13"/>
        <v>9958500.7416231558</v>
      </c>
      <c r="G66" s="141">
        <f t="shared" si="13"/>
        <v>10398755.900677932</v>
      </c>
      <c r="H66" s="141">
        <f t="shared" si="13"/>
        <v>10858474.291207325</v>
      </c>
      <c r="I66" s="141">
        <f t="shared" si="13"/>
        <v>11338516.362820257</v>
      </c>
      <c r="J66" s="141">
        <f t="shared" si="13"/>
        <v>11839780.604725106</v>
      </c>
      <c r="K66" s="141">
        <f t="shared" si="13"/>
        <v>12363205.227421604</v>
      </c>
      <c r="L66" s="141">
        <f t="shared" si="13"/>
        <v>12909769.918738602</v>
      </c>
      <c r="M66" s="141">
        <f t="shared" si="13"/>
        <v>13480497.677504469</v>
      </c>
      <c r="N66" s="141">
        <f t="shared" si="13"/>
        <v>14076456.728282221</v>
      </c>
      <c r="O66" s="141">
        <f t="shared" si="13"/>
        <v>14698762.520753093</v>
      </c>
      <c r="P66" s="141">
        <f t="shared" si="13"/>
        <v>15348579.817490853</v>
      </c>
      <c r="Q66" s="141">
        <f t="shared" si="13"/>
        <v>16027124.874034474</v>
      </c>
      <c r="R66" s="141">
        <f t="shared" si="13"/>
        <v>16735667.715339594</v>
      </c>
      <c r="S66" s="141">
        <f t="shared" si="13"/>
        <v>17475534.512869582</v>
      </c>
      <c r="T66" s="141">
        <f t="shared" si="13"/>
        <v>18248110.066775359</v>
      </c>
      <c r="U66" s="141">
        <f t="shared" si="13"/>
        <v>19054840.397809889</v>
      </c>
      <c r="V66" s="141">
        <f t="shared" si="13"/>
        <v>19897235.453828517</v>
      </c>
      <c r="W66" s="141">
        <f t="shared" si="13"/>
        <v>20776871.935940962</v>
      </c>
      <c r="X66" s="141">
        <f t="shared" si="13"/>
        <v>21695396.249604616</v>
      </c>
      <c r="Y66" s="141">
        <f t="shared" si="13"/>
        <v>22654527.586182624</v>
      </c>
      <c r="Z66" s="141">
        <f t="shared" si="13"/>
        <v>23656061.140734531</v>
      </c>
      <c r="AA66" s="141">
        <f t="shared" si="13"/>
        <v>24701871.472062185</v>
      </c>
      <c r="AB66" s="141">
        <f t="shared" si="13"/>
        <v>25793916.011299808</v>
      </c>
      <c r="AC66" s="141">
        <f t="shared" si="13"/>
        <v>26934238.725615278</v>
      </c>
      <c r="AD66" s="141">
        <f t="shared" si="13"/>
        <v>28124973.943879902</v>
      </c>
      <c r="AE66" s="141">
        <f t="shared" si="13"/>
        <v>29368350.351467144</v>
      </c>
      <c r="AF66" s="141">
        <f t="shared" si="13"/>
        <v>30666695.161657333</v>
      </c>
      <c r="AG66" s="141">
        <f t="shared" si="13"/>
        <v>32022438.471455913</v>
      </c>
      <c r="AH66" s="141">
        <f t="shared" si="13"/>
        <v>33438117.809977982</v>
      </c>
      <c r="AI66" s="141">
        <f t="shared" si="13"/>
        <v>34916382.887912266</v>
      </c>
      <c r="AJ66" s="141">
        <f t="shared" si="13"/>
        <v>36460000.556954063</v>
      </c>
      <c r="AK66" s="141">
        <f t="shared" si="13"/>
        <v>38071859.988489605</v>
      </c>
      <c r="AL66" s="141">
        <f t="shared" si="13"/>
        <v>39754978.081224896</v>
      </c>
      <c r="AM66" s="141">
        <f t="shared" si="13"/>
        <v>41512505.107880116</v>
      </c>
      <c r="AN66" s="141">
        <f t="shared" si="13"/>
        <v>43347730.611518845</v>
      </c>
      <c r="AO66" s="141">
        <f t="shared" si="13"/>
        <v>45264089.562547781</v>
      </c>
      <c r="AP66" s="141">
        <f>AP59+AP60</f>
        <v>0</v>
      </c>
    </row>
    <row r="67" spans="1:45" x14ac:dyDescent="0.2">
      <c r="A67" s="142" t="s">
        <v>291</v>
      </c>
      <c r="B67" s="144"/>
      <c r="C67" s="134">
        <f>-($B$25)*$B$28/$B$27</f>
        <v>-534820.7328</v>
      </c>
      <c r="D67" s="134">
        <f>-($B$25)*$B$28/$B$27</f>
        <v>-534820.7328</v>
      </c>
      <c r="E67" s="134">
        <f t="shared" ref="E67:AP67" si="14">D67</f>
        <v>-534820.7328</v>
      </c>
      <c r="F67" s="134">
        <f t="shared" si="14"/>
        <v>-534820.7328</v>
      </c>
      <c r="G67" s="134">
        <f t="shared" si="14"/>
        <v>-534820.7328</v>
      </c>
      <c r="H67" s="134">
        <f t="shared" si="14"/>
        <v>-534820.7328</v>
      </c>
      <c r="I67" s="134">
        <f t="shared" si="14"/>
        <v>-534820.7328</v>
      </c>
      <c r="J67" s="134">
        <f t="shared" si="14"/>
        <v>-534820.7328</v>
      </c>
      <c r="K67" s="134">
        <f t="shared" si="14"/>
        <v>-534820.7328</v>
      </c>
      <c r="L67" s="134">
        <f t="shared" si="14"/>
        <v>-534820.7328</v>
      </c>
      <c r="M67" s="134">
        <f t="shared" si="14"/>
        <v>-534820.7328</v>
      </c>
      <c r="N67" s="134">
        <f t="shared" si="14"/>
        <v>-534820.7328</v>
      </c>
      <c r="O67" s="134">
        <f t="shared" si="14"/>
        <v>-534820.7328</v>
      </c>
      <c r="P67" s="134">
        <f t="shared" si="14"/>
        <v>-534820.7328</v>
      </c>
      <c r="Q67" s="134">
        <f t="shared" si="14"/>
        <v>-534820.7328</v>
      </c>
      <c r="R67" s="134">
        <f t="shared" si="14"/>
        <v>-534820.7328</v>
      </c>
      <c r="S67" s="134">
        <f t="shared" si="14"/>
        <v>-534820.7328</v>
      </c>
      <c r="T67" s="134">
        <f t="shared" si="14"/>
        <v>-534820.7328</v>
      </c>
      <c r="U67" s="134">
        <f t="shared" si="14"/>
        <v>-534820.7328</v>
      </c>
      <c r="V67" s="134">
        <f t="shared" si="14"/>
        <v>-534820.7328</v>
      </c>
      <c r="W67" s="134">
        <f t="shared" si="14"/>
        <v>-534820.7328</v>
      </c>
      <c r="X67" s="134">
        <f t="shared" si="14"/>
        <v>-534820.7328</v>
      </c>
      <c r="Y67" s="134">
        <f t="shared" si="14"/>
        <v>-534820.7328</v>
      </c>
      <c r="Z67" s="134">
        <f t="shared" si="14"/>
        <v>-534820.7328</v>
      </c>
      <c r="AA67" s="134">
        <f t="shared" si="14"/>
        <v>-534820.7328</v>
      </c>
      <c r="AB67" s="134">
        <f t="shared" si="14"/>
        <v>-534820.7328</v>
      </c>
      <c r="AC67" s="134">
        <f t="shared" si="14"/>
        <v>-534820.7328</v>
      </c>
      <c r="AD67" s="134">
        <f t="shared" si="14"/>
        <v>-534820.7328</v>
      </c>
      <c r="AE67" s="134">
        <f t="shared" si="14"/>
        <v>-534820.7328</v>
      </c>
      <c r="AF67" s="134">
        <f t="shared" si="14"/>
        <v>-534820.7328</v>
      </c>
      <c r="AG67" s="134">
        <f t="shared" si="14"/>
        <v>-534820.7328</v>
      </c>
      <c r="AH67" s="134">
        <f t="shared" si="14"/>
        <v>-534820.7328</v>
      </c>
      <c r="AI67" s="134">
        <f t="shared" si="14"/>
        <v>-534820.7328</v>
      </c>
      <c r="AJ67" s="134">
        <f t="shared" si="14"/>
        <v>-534820.7328</v>
      </c>
      <c r="AK67" s="134">
        <f t="shared" si="14"/>
        <v>-534820.7328</v>
      </c>
      <c r="AL67" s="134">
        <f t="shared" si="14"/>
        <v>-534820.7328</v>
      </c>
      <c r="AM67" s="134">
        <f t="shared" si="14"/>
        <v>-534820.7328</v>
      </c>
      <c r="AN67" s="134">
        <f t="shared" si="14"/>
        <v>-534820.7328</v>
      </c>
      <c r="AO67" s="134">
        <f t="shared" si="14"/>
        <v>-534820.7328</v>
      </c>
      <c r="AP67" s="134">
        <f t="shared" si="14"/>
        <v>-534820.7328</v>
      </c>
      <c r="AQ67" s="145">
        <f>SUM(B67:AA67)/1.18</f>
        <v>-11330947.728813557</v>
      </c>
      <c r="AR67" s="146">
        <f>SUM(B67:AF67)/1.18</f>
        <v>-13597137.274576267</v>
      </c>
      <c r="AS67" s="146">
        <f>SUM(B67:AP67)/1.18</f>
        <v>-18129516.366101686</v>
      </c>
    </row>
    <row r="68" spans="1:45" ht="28.5" x14ac:dyDescent="0.2">
      <c r="A68" s="143" t="s">
        <v>292</v>
      </c>
      <c r="B68" s="141">
        <f t="shared" ref="B68:J68" si="15">B66+B67</f>
        <v>0</v>
      </c>
      <c r="C68" s="141">
        <f>C66+C67</f>
        <v>2002504.9186405079</v>
      </c>
      <c r="D68" s="141">
        <f>D66+D67</f>
        <v>5120015.3142358158</v>
      </c>
      <c r="E68" s="141">
        <f t="shared" si="15"/>
        <v>8635249.0701053925</v>
      </c>
      <c r="F68" s="141">
        <f t="shared" si="15"/>
        <v>9423680.0088231564</v>
      </c>
      <c r="G68" s="141">
        <f t="shared" si="15"/>
        <v>9863935.167877933</v>
      </c>
      <c r="H68" s="141">
        <f t="shared" si="15"/>
        <v>10323653.558407325</v>
      </c>
      <c r="I68" s="141">
        <f t="shared" si="15"/>
        <v>10803695.630020257</v>
      </c>
      <c r="J68" s="141">
        <f t="shared" si="15"/>
        <v>11304959.871925106</v>
      </c>
      <c r="K68" s="141">
        <f>K66+K67</f>
        <v>11828384.494621605</v>
      </c>
      <c r="L68" s="141">
        <f>L66+L67</f>
        <v>12374949.185938602</v>
      </c>
      <c r="M68" s="141">
        <f t="shared" ref="M68:AO68" si="16">M66+M67</f>
        <v>12945676.944704469</v>
      </c>
      <c r="N68" s="141">
        <f t="shared" si="16"/>
        <v>13541635.995482221</v>
      </c>
      <c r="O68" s="141">
        <f t="shared" si="16"/>
        <v>14163941.787953094</v>
      </c>
      <c r="P68" s="141">
        <f t="shared" si="16"/>
        <v>14813759.084690854</v>
      </c>
      <c r="Q68" s="141">
        <f t="shared" si="16"/>
        <v>15492304.141234474</v>
      </c>
      <c r="R68" s="141">
        <f t="shared" si="16"/>
        <v>16200846.982539594</v>
      </c>
      <c r="S68" s="141">
        <f t="shared" si="16"/>
        <v>16940713.780069582</v>
      </c>
      <c r="T68" s="141">
        <f t="shared" si="16"/>
        <v>17713289.33397536</v>
      </c>
      <c r="U68" s="141">
        <f t="shared" si="16"/>
        <v>18520019.66500989</v>
      </c>
      <c r="V68" s="141">
        <f t="shared" si="16"/>
        <v>19362414.721028518</v>
      </c>
      <c r="W68" s="141">
        <f t="shared" si="16"/>
        <v>20242051.203140963</v>
      </c>
      <c r="X68" s="141">
        <f t="shared" si="16"/>
        <v>21160575.516804617</v>
      </c>
      <c r="Y68" s="141">
        <f t="shared" si="16"/>
        <v>22119706.853382625</v>
      </c>
      <c r="Z68" s="141">
        <f t="shared" si="16"/>
        <v>23121240.407934532</v>
      </c>
      <c r="AA68" s="141">
        <f t="shared" si="16"/>
        <v>24167050.739262186</v>
      </c>
      <c r="AB68" s="141">
        <f t="shared" si="16"/>
        <v>25259095.278499808</v>
      </c>
      <c r="AC68" s="141">
        <f t="shared" si="16"/>
        <v>26399417.992815278</v>
      </c>
      <c r="AD68" s="141">
        <f t="shared" si="16"/>
        <v>27590153.211079903</v>
      </c>
      <c r="AE68" s="141">
        <f t="shared" si="16"/>
        <v>28833529.618667144</v>
      </c>
      <c r="AF68" s="141">
        <f t="shared" si="16"/>
        <v>30131874.428857334</v>
      </c>
      <c r="AG68" s="141">
        <f t="shared" si="16"/>
        <v>31487617.738655914</v>
      </c>
      <c r="AH68" s="141">
        <f t="shared" si="16"/>
        <v>32903297.077177983</v>
      </c>
      <c r="AI68" s="141">
        <f t="shared" si="16"/>
        <v>34381562.155112267</v>
      </c>
      <c r="AJ68" s="141">
        <f t="shared" si="16"/>
        <v>35925179.824154064</v>
      </c>
      <c r="AK68" s="141">
        <f t="shared" si="16"/>
        <v>37537039.255689606</v>
      </c>
      <c r="AL68" s="141">
        <f t="shared" si="16"/>
        <v>39220157.348424897</v>
      </c>
      <c r="AM68" s="141">
        <f t="shared" si="16"/>
        <v>40977684.375080116</v>
      </c>
      <c r="AN68" s="141">
        <f t="shared" si="16"/>
        <v>42812909.878718846</v>
      </c>
      <c r="AO68" s="141">
        <f t="shared" si="16"/>
        <v>44729268.829747781</v>
      </c>
      <c r="AP68" s="141">
        <f>AP66+AP67</f>
        <v>-534820.7328</v>
      </c>
      <c r="AQ68" s="91">
        <v>25</v>
      </c>
      <c r="AR68" s="91">
        <v>30</v>
      </c>
      <c r="AS68" s="91">
        <v>40</v>
      </c>
    </row>
    <row r="69" spans="1:45" x14ac:dyDescent="0.2">
      <c r="A69" s="142" t="s">
        <v>293</v>
      </c>
      <c r="B69" s="134">
        <f t="shared" ref="B69:AO69" si="17">-B56</f>
        <v>0</v>
      </c>
      <c r="C69" s="134">
        <f t="shared" si="17"/>
        <v>0</v>
      </c>
      <c r="D69" s="134">
        <f t="shared" si="17"/>
        <v>0</v>
      </c>
      <c r="E69" s="134">
        <f t="shared" si="17"/>
        <v>0</v>
      </c>
      <c r="F69" s="134">
        <f t="shared" si="17"/>
        <v>0</v>
      </c>
      <c r="G69" s="134">
        <f t="shared" si="17"/>
        <v>0</v>
      </c>
      <c r="H69" s="134">
        <f t="shared" si="17"/>
        <v>0</v>
      </c>
      <c r="I69" s="134">
        <f t="shared" si="17"/>
        <v>0</v>
      </c>
      <c r="J69" s="134">
        <f t="shared" si="17"/>
        <v>0</v>
      </c>
      <c r="K69" s="134">
        <f t="shared" si="17"/>
        <v>0</v>
      </c>
      <c r="L69" s="134">
        <f t="shared" si="17"/>
        <v>0</v>
      </c>
      <c r="M69" s="134">
        <f t="shared" si="17"/>
        <v>0</v>
      </c>
      <c r="N69" s="134">
        <f t="shared" si="17"/>
        <v>0</v>
      </c>
      <c r="O69" s="134">
        <f t="shared" si="17"/>
        <v>0</v>
      </c>
      <c r="P69" s="134">
        <f t="shared" si="17"/>
        <v>0</v>
      </c>
      <c r="Q69" s="134">
        <f t="shared" si="17"/>
        <v>0</v>
      </c>
      <c r="R69" s="134">
        <f t="shared" si="17"/>
        <v>0</v>
      </c>
      <c r="S69" s="134">
        <f t="shared" si="17"/>
        <v>0</v>
      </c>
      <c r="T69" s="134">
        <f t="shared" si="17"/>
        <v>0</v>
      </c>
      <c r="U69" s="134">
        <f t="shared" si="17"/>
        <v>0</v>
      </c>
      <c r="V69" s="134">
        <f t="shared" si="17"/>
        <v>0</v>
      </c>
      <c r="W69" s="134">
        <f t="shared" si="17"/>
        <v>0</v>
      </c>
      <c r="X69" s="134">
        <f t="shared" si="17"/>
        <v>0</v>
      </c>
      <c r="Y69" s="134">
        <f t="shared" si="17"/>
        <v>0</v>
      </c>
      <c r="Z69" s="134">
        <f t="shared" si="17"/>
        <v>0</v>
      </c>
      <c r="AA69" s="134">
        <f t="shared" si="17"/>
        <v>0</v>
      </c>
      <c r="AB69" s="134">
        <f t="shared" si="17"/>
        <v>0</v>
      </c>
      <c r="AC69" s="134">
        <f t="shared" si="17"/>
        <v>0</v>
      </c>
      <c r="AD69" s="134">
        <f t="shared" si="17"/>
        <v>0</v>
      </c>
      <c r="AE69" s="134">
        <f t="shared" si="17"/>
        <v>0</v>
      </c>
      <c r="AF69" s="134">
        <f t="shared" si="17"/>
        <v>0</v>
      </c>
      <c r="AG69" s="134">
        <f t="shared" si="17"/>
        <v>0</v>
      </c>
      <c r="AH69" s="134">
        <f t="shared" si="17"/>
        <v>0</v>
      </c>
      <c r="AI69" s="134">
        <f t="shared" si="17"/>
        <v>0</v>
      </c>
      <c r="AJ69" s="134">
        <f t="shared" si="17"/>
        <v>0</v>
      </c>
      <c r="AK69" s="134">
        <f t="shared" si="17"/>
        <v>0</v>
      </c>
      <c r="AL69" s="134">
        <f t="shared" si="17"/>
        <v>0</v>
      </c>
      <c r="AM69" s="134">
        <f t="shared" si="17"/>
        <v>0</v>
      </c>
      <c r="AN69" s="134">
        <f t="shared" si="17"/>
        <v>0</v>
      </c>
      <c r="AO69" s="134">
        <f t="shared" si="17"/>
        <v>0</v>
      </c>
      <c r="AP69" s="134">
        <f>-AP56</f>
        <v>0</v>
      </c>
    </row>
    <row r="70" spans="1:45" ht="14.25" x14ac:dyDescent="0.2">
      <c r="A70" s="143" t="s">
        <v>294</v>
      </c>
      <c r="B70" s="141">
        <f t="shared" ref="B70:AO70" si="18">B68+B69</f>
        <v>0</v>
      </c>
      <c r="C70" s="141">
        <f t="shared" si="18"/>
        <v>2002504.9186405079</v>
      </c>
      <c r="D70" s="141">
        <f t="shared" si="18"/>
        <v>5120015.3142358158</v>
      </c>
      <c r="E70" s="141">
        <f t="shared" si="18"/>
        <v>8635249.0701053925</v>
      </c>
      <c r="F70" s="141">
        <f t="shared" si="18"/>
        <v>9423680.0088231564</v>
      </c>
      <c r="G70" s="141">
        <f t="shared" si="18"/>
        <v>9863935.167877933</v>
      </c>
      <c r="H70" s="141">
        <f t="shared" si="18"/>
        <v>10323653.558407325</v>
      </c>
      <c r="I70" s="141">
        <f t="shared" si="18"/>
        <v>10803695.630020257</v>
      </c>
      <c r="J70" s="141">
        <f t="shared" si="18"/>
        <v>11304959.871925106</v>
      </c>
      <c r="K70" s="141">
        <f t="shared" si="18"/>
        <v>11828384.494621605</v>
      </c>
      <c r="L70" s="141">
        <f t="shared" si="18"/>
        <v>12374949.185938602</v>
      </c>
      <c r="M70" s="141">
        <f t="shared" si="18"/>
        <v>12945676.944704469</v>
      </c>
      <c r="N70" s="141">
        <f t="shared" si="18"/>
        <v>13541635.995482221</v>
      </c>
      <c r="O70" s="141">
        <f t="shared" si="18"/>
        <v>14163941.787953094</v>
      </c>
      <c r="P70" s="141">
        <f t="shared" si="18"/>
        <v>14813759.084690854</v>
      </c>
      <c r="Q70" s="141">
        <f t="shared" si="18"/>
        <v>15492304.141234474</v>
      </c>
      <c r="R70" s="141">
        <f t="shared" si="18"/>
        <v>16200846.982539594</v>
      </c>
      <c r="S70" s="141">
        <f t="shared" si="18"/>
        <v>16940713.780069582</v>
      </c>
      <c r="T70" s="141">
        <f t="shared" si="18"/>
        <v>17713289.33397536</v>
      </c>
      <c r="U70" s="141">
        <f t="shared" si="18"/>
        <v>18520019.66500989</v>
      </c>
      <c r="V70" s="141">
        <f t="shared" si="18"/>
        <v>19362414.721028518</v>
      </c>
      <c r="W70" s="141">
        <f t="shared" si="18"/>
        <v>20242051.203140963</v>
      </c>
      <c r="X70" s="141">
        <f t="shared" si="18"/>
        <v>21160575.516804617</v>
      </c>
      <c r="Y70" s="141">
        <f t="shared" si="18"/>
        <v>22119706.853382625</v>
      </c>
      <c r="Z70" s="141">
        <f t="shared" si="18"/>
        <v>23121240.407934532</v>
      </c>
      <c r="AA70" s="141">
        <f t="shared" si="18"/>
        <v>24167050.739262186</v>
      </c>
      <c r="AB70" s="141">
        <f t="shared" si="18"/>
        <v>25259095.278499808</v>
      </c>
      <c r="AC70" s="141">
        <f t="shared" si="18"/>
        <v>26399417.992815278</v>
      </c>
      <c r="AD70" s="141">
        <f t="shared" si="18"/>
        <v>27590153.211079903</v>
      </c>
      <c r="AE70" s="141">
        <f t="shared" si="18"/>
        <v>28833529.618667144</v>
      </c>
      <c r="AF70" s="141">
        <f t="shared" si="18"/>
        <v>30131874.428857334</v>
      </c>
      <c r="AG70" s="141">
        <f t="shared" si="18"/>
        <v>31487617.738655914</v>
      </c>
      <c r="AH70" s="141">
        <f t="shared" si="18"/>
        <v>32903297.077177983</v>
      </c>
      <c r="AI70" s="141">
        <f t="shared" si="18"/>
        <v>34381562.155112267</v>
      </c>
      <c r="AJ70" s="141">
        <f t="shared" si="18"/>
        <v>35925179.824154064</v>
      </c>
      <c r="AK70" s="141">
        <f t="shared" si="18"/>
        <v>37537039.255689606</v>
      </c>
      <c r="AL70" s="141">
        <f t="shared" si="18"/>
        <v>39220157.348424897</v>
      </c>
      <c r="AM70" s="141">
        <f t="shared" si="18"/>
        <v>40977684.375080116</v>
      </c>
      <c r="AN70" s="141">
        <f t="shared" si="18"/>
        <v>42812909.878718846</v>
      </c>
      <c r="AO70" s="141">
        <f t="shared" si="18"/>
        <v>44729268.829747781</v>
      </c>
      <c r="AP70" s="141">
        <f>AP68+AP69</f>
        <v>-534820.7328</v>
      </c>
    </row>
    <row r="71" spans="1:45" x14ac:dyDescent="0.2">
      <c r="A71" s="142" t="s">
        <v>265</v>
      </c>
      <c r="B71" s="134">
        <f t="shared" ref="B71:AP71" si="19">-B70*$B$36</f>
        <v>0</v>
      </c>
      <c r="C71" s="134">
        <f t="shared" si="19"/>
        <v>-400500.98372810159</v>
      </c>
      <c r="D71" s="134">
        <f t="shared" si="19"/>
        <v>-1024003.0628471632</v>
      </c>
      <c r="E71" s="134">
        <f t="shared" si="19"/>
        <v>-1727049.8140210786</v>
      </c>
      <c r="F71" s="134">
        <f t="shared" si="19"/>
        <v>-1884736.0017646314</v>
      </c>
      <c r="G71" s="134">
        <f t="shared" si="19"/>
        <v>-1972787.0335755867</v>
      </c>
      <c r="H71" s="134">
        <f t="shared" si="19"/>
        <v>-2064730.7116814652</v>
      </c>
      <c r="I71" s="134">
        <f t="shared" si="19"/>
        <v>-2160739.1260040514</v>
      </c>
      <c r="J71" s="134">
        <f t="shared" si="19"/>
        <v>-2260991.9743850213</v>
      </c>
      <c r="K71" s="134">
        <f t="shared" si="19"/>
        <v>-2365676.8989243209</v>
      </c>
      <c r="L71" s="134">
        <f t="shared" si="19"/>
        <v>-2474989.8371877205</v>
      </c>
      <c r="M71" s="134">
        <f t="shared" si="19"/>
        <v>-2589135.388940894</v>
      </c>
      <c r="N71" s="134">
        <f t="shared" si="19"/>
        <v>-2708327.1990964445</v>
      </c>
      <c r="O71" s="134">
        <f t="shared" si="19"/>
        <v>-2832788.357590619</v>
      </c>
      <c r="P71" s="134">
        <f t="shared" si="19"/>
        <v>-2962751.8169381712</v>
      </c>
      <c r="Q71" s="134">
        <f t="shared" si="19"/>
        <v>-3098460.8282468952</v>
      </c>
      <c r="R71" s="134">
        <f t="shared" si="19"/>
        <v>-3240169.3965079188</v>
      </c>
      <c r="S71" s="134">
        <f t="shared" si="19"/>
        <v>-3388142.7560139168</v>
      </c>
      <c r="T71" s="134">
        <f t="shared" si="19"/>
        <v>-3542657.8667950723</v>
      </c>
      <c r="U71" s="134">
        <f t="shared" si="19"/>
        <v>-3704003.9330019783</v>
      </c>
      <c r="V71" s="134">
        <f t="shared" si="19"/>
        <v>-3872482.9442057037</v>
      </c>
      <c r="W71" s="134">
        <f t="shared" si="19"/>
        <v>-4048410.2406281927</v>
      </c>
      <c r="X71" s="134">
        <f t="shared" si="19"/>
        <v>-4232115.1033609239</v>
      </c>
      <c r="Y71" s="134">
        <f t="shared" si="19"/>
        <v>-4423941.3706765249</v>
      </c>
      <c r="Z71" s="134">
        <f t="shared" si="19"/>
        <v>-4624248.0815869067</v>
      </c>
      <c r="AA71" s="134">
        <f t="shared" si="19"/>
        <v>-4833410.1478524376</v>
      </c>
      <c r="AB71" s="134">
        <f t="shared" si="19"/>
        <v>-5051819.0556999622</v>
      </c>
      <c r="AC71" s="134">
        <f t="shared" si="19"/>
        <v>-5279883.5985630564</v>
      </c>
      <c r="AD71" s="134">
        <f t="shared" si="19"/>
        <v>-5518030.6422159811</v>
      </c>
      <c r="AE71" s="134">
        <f t="shared" si="19"/>
        <v>-5766705.9237334291</v>
      </c>
      <c r="AF71" s="134">
        <f t="shared" si="19"/>
        <v>-6026374.8857714674</v>
      </c>
      <c r="AG71" s="134">
        <f t="shared" si="19"/>
        <v>-6297523.5477311835</v>
      </c>
      <c r="AH71" s="134">
        <f t="shared" si="19"/>
        <v>-6580659.4154355973</v>
      </c>
      <c r="AI71" s="134">
        <f t="shared" si="19"/>
        <v>-6876312.4310224541</v>
      </c>
      <c r="AJ71" s="134">
        <f t="shared" si="19"/>
        <v>-7185035.964830813</v>
      </c>
      <c r="AK71" s="134">
        <f t="shared" si="19"/>
        <v>-7507407.8511379212</v>
      </c>
      <c r="AL71" s="134">
        <f t="shared" si="19"/>
        <v>-7844031.4696849799</v>
      </c>
      <c r="AM71" s="134">
        <f t="shared" si="19"/>
        <v>-8195536.8750160234</v>
      </c>
      <c r="AN71" s="134">
        <f t="shared" si="19"/>
        <v>-8562581.9757437687</v>
      </c>
      <c r="AO71" s="134">
        <f t="shared" si="19"/>
        <v>-8945853.7659495566</v>
      </c>
      <c r="AP71" s="134">
        <f t="shared" si="19"/>
        <v>106964.14656000001</v>
      </c>
    </row>
    <row r="72" spans="1:45" ht="14.25" x14ac:dyDescent="0.2">
      <c r="A72" s="147" t="s">
        <v>295</v>
      </c>
      <c r="B72" s="148">
        <f t="shared" ref="B72:AO72" si="20">B70+B71</f>
        <v>0</v>
      </c>
      <c r="C72" s="148">
        <f t="shared" si="20"/>
        <v>1602003.9349124064</v>
      </c>
      <c r="D72" s="148">
        <f t="shared" si="20"/>
        <v>4096012.2513886527</v>
      </c>
      <c r="E72" s="148">
        <f t="shared" si="20"/>
        <v>6908199.2560843136</v>
      </c>
      <c r="F72" s="148">
        <f t="shared" si="20"/>
        <v>7538944.0070585255</v>
      </c>
      <c r="G72" s="148">
        <f t="shared" si="20"/>
        <v>7891148.134302346</v>
      </c>
      <c r="H72" s="148">
        <f t="shared" si="20"/>
        <v>8258922.8467258606</v>
      </c>
      <c r="I72" s="148">
        <f t="shared" si="20"/>
        <v>8642956.5040162057</v>
      </c>
      <c r="J72" s="148">
        <f t="shared" si="20"/>
        <v>9043967.897540085</v>
      </c>
      <c r="K72" s="148">
        <f t="shared" si="20"/>
        <v>9462707.5956972837</v>
      </c>
      <c r="L72" s="148">
        <f t="shared" si="20"/>
        <v>9899959.3487508819</v>
      </c>
      <c r="M72" s="148">
        <f t="shared" si="20"/>
        <v>10356541.555763576</v>
      </c>
      <c r="N72" s="148">
        <f t="shared" si="20"/>
        <v>10833308.796385776</v>
      </c>
      <c r="O72" s="148">
        <f t="shared" si="20"/>
        <v>11331153.430362474</v>
      </c>
      <c r="P72" s="148">
        <f t="shared" si="20"/>
        <v>11851007.267752683</v>
      </c>
      <c r="Q72" s="148">
        <f t="shared" si="20"/>
        <v>12393843.312987579</v>
      </c>
      <c r="R72" s="148">
        <f t="shared" si="20"/>
        <v>12960677.586031675</v>
      </c>
      <c r="S72" s="148">
        <f t="shared" si="20"/>
        <v>13552571.024055665</v>
      </c>
      <c r="T72" s="148">
        <f t="shared" si="20"/>
        <v>14170631.467180287</v>
      </c>
      <c r="U72" s="148">
        <f t="shared" si="20"/>
        <v>14816015.732007911</v>
      </c>
      <c r="V72" s="148">
        <f t="shared" si="20"/>
        <v>15489931.776822815</v>
      </c>
      <c r="W72" s="148">
        <f t="shared" si="20"/>
        <v>16193640.962512771</v>
      </c>
      <c r="X72" s="148">
        <f t="shared" si="20"/>
        <v>16928460.413443692</v>
      </c>
      <c r="Y72" s="148">
        <f t="shared" si="20"/>
        <v>17695765.4827061</v>
      </c>
      <c r="Z72" s="148">
        <f t="shared" si="20"/>
        <v>18496992.326347627</v>
      </c>
      <c r="AA72" s="148">
        <f t="shared" si="20"/>
        <v>19333640.59140975</v>
      </c>
      <c r="AB72" s="148">
        <f t="shared" si="20"/>
        <v>20207276.222799845</v>
      </c>
      <c r="AC72" s="148">
        <f t="shared" si="20"/>
        <v>21119534.394252222</v>
      </c>
      <c r="AD72" s="148">
        <f t="shared" si="20"/>
        <v>22072122.568863921</v>
      </c>
      <c r="AE72" s="148">
        <f t="shared" si="20"/>
        <v>23066823.694933716</v>
      </c>
      <c r="AF72" s="148">
        <f t="shared" si="20"/>
        <v>24105499.543085866</v>
      </c>
      <c r="AG72" s="148">
        <f t="shared" si="20"/>
        <v>25190094.19092473</v>
      </c>
      <c r="AH72" s="148">
        <f t="shared" si="20"/>
        <v>26322637.661742385</v>
      </c>
      <c r="AI72" s="148">
        <f t="shared" si="20"/>
        <v>27505249.724089812</v>
      </c>
      <c r="AJ72" s="148">
        <f t="shared" si="20"/>
        <v>28740143.859323252</v>
      </c>
      <c r="AK72" s="148">
        <f t="shared" si="20"/>
        <v>30029631.404551685</v>
      </c>
      <c r="AL72" s="148">
        <f t="shared" si="20"/>
        <v>31376125.878739916</v>
      </c>
      <c r="AM72" s="148">
        <f t="shared" si="20"/>
        <v>32782147.500064094</v>
      </c>
      <c r="AN72" s="148">
        <f t="shared" si="20"/>
        <v>34250327.902975075</v>
      </c>
      <c r="AO72" s="148">
        <f t="shared" si="20"/>
        <v>35783415.063798226</v>
      </c>
      <c r="AP72" s="148">
        <f>AP70+AP71</f>
        <v>-427856.58623999998</v>
      </c>
    </row>
    <row r="73" spans="1:45" s="137" customFormat="1" x14ac:dyDescent="0.2">
      <c r="A73" s="138"/>
      <c r="B73" s="149">
        <f>C144</f>
        <v>0.5</v>
      </c>
      <c r="C73" s="149">
        <f t="shared" ref="C73:AS73" si="21">D144</f>
        <v>1.5</v>
      </c>
      <c r="D73" s="149">
        <f t="shared" si="21"/>
        <v>2.5</v>
      </c>
      <c r="E73" s="149">
        <f t="shared" si="21"/>
        <v>3.5</v>
      </c>
      <c r="F73" s="149">
        <f t="shared" si="21"/>
        <v>4.5</v>
      </c>
      <c r="G73" s="149">
        <f t="shared" si="21"/>
        <v>5.5</v>
      </c>
      <c r="H73" s="149">
        <f t="shared" si="21"/>
        <v>6.5</v>
      </c>
      <c r="I73" s="149">
        <f t="shared" si="21"/>
        <v>7.5</v>
      </c>
      <c r="J73" s="149">
        <f t="shared" si="21"/>
        <v>8.5</v>
      </c>
      <c r="K73" s="149">
        <f t="shared" si="21"/>
        <v>9.5</v>
      </c>
      <c r="L73" s="149">
        <f t="shared" si="21"/>
        <v>10.5</v>
      </c>
      <c r="M73" s="149">
        <f t="shared" si="21"/>
        <v>11.5</v>
      </c>
      <c r="N73" s="149">
        <f t="shared" si="21"/>
        <v>12.5</v>
      </c>
      <c r="O73" s="149">
        <f t="shared" si="21"/>
        <v>13.5</v>
      </c>
      <c r="P73" s="149">
        <f t="shared" si="21"/>
        <v>14.5</v>
      </c>
      <c r="Q73" s="149">
        <f t="shared" si="21"/>
        <v>15.5</v>
      </c>
      <c r="R73" s="149">
        <f t="shared" si="21"/>
        <v>16.5</v>
      </c>
      <c r="S73" s="149">
        <f t="shared" si="21"/>
        <v>17.5</v>
      </c>
      <c r="T73" s="149">
        <f t="shared" si="21"/>
        <v>18.5</v>
      </c>
      <c r="U73" s="149">
        <f t="shared" si="21"/>
        <v>19.5</v>
      </c>
      <c r="V73" s="149">
        <f t="shared" si="21"/>
        <v>20.5</v>
      </c>
      <c r="W73" s="149">
        <f t="shared" si="21"/>
        <v>21.5</v>
      </c>
      <c r="X73" s="149">
        <f t="shared" si="21"/>
        <v>22.5</v>
      </c>
      <c r="Y73" s="149">
        <f t="shared" si="21"/>
        <v>23.5</v>
      </c>
      <c r="Z73" s="149">
        <f t="shared" si="21"/>
        <v>24.5</v>
      </c>
      <c r="AA73" s="149">
        <f t="shared" si="21"/>
        <v>25.5</v>
      </c>
      <c r="AB73" s="149">
        <f t="shared" si="21"/>
        <v>26.5</v>
      </c>
      <c r="AC73" s="149">
        <f t="shared" si="21"/>
        <v>27.5</v>
      </c>
      <c r="AD73" s="149">
        <f t="shared" si="21"/>
        <v>28.5</v>
      </c>
      <c r="AE73" s="149">
        <f t="shared" si="21"/>
        <v>29.5</v>
      </c>
      <c r="AF73" s="149">
        <f t="shared" si="21"/>
        <v>30.5</v>
      </c>
      <c r="AG73" s="149">
        <f t="shared" si="21"/>
        <v>31.5</v>
      </c>
      <c r="AH73" s="149">
        <f t="shared" si="21"/>
        <v>32.5</v>
      </c>
      <c r="AI73" s="149">
        <f t="shared" si="21"/>
        <v>33.5</v>
      </c>
      <c r="AJ73" s="149">
        <f t="shared" si="21"/>
        <v>34.5</v>
      </c>
      <c r="AK73" s="149">
        <f t="shared" si="21"/>
        <v>35.5</v>
      </c>
      <c r="AL73" s="149">
        <f t="shared" si="21"/>
        <v>36.5</v>
      </c>
      <c r="AM73" s="149">
        <f t="shared" si="21"/>
        <v>37.5</v>
      </c>
      <c r="AN73" s="149">
        <f t="shared" si="21"/>
        <v>38.5</v>
      </c>
      <c r="AO73" s="149">
        <f t="shared" si="21"/>
        <v>39.5</v>
      </c>
      <c r="AP73" s="149">
        <f t="shared" si="21"/>
        <v>40.5</v>
      </c>
      <c r="AQ73" s="149">
        <f t="shared" si="21"/>
        <v>41.5</v>
      </c>
      <c r="AR73" s="149">
        <f t="shared" si="21"/>
        <v>42.5</v>
      </c>
      <c r="AS73" s="149">
        <f t="shared" si="21"/>
        <v>43.5</v>
      </c>
    </row>
    <row r="74" spans="1:45" x14ac:dyDescent="0.2">
      <c r="A74" s="131" t="s">
        <v>296</v>
      </c>
      <c r="B74" s="132">
        <f t="shared" ref="B74:AO74" si="22">B58</f>
        <v>1</v>
      </c>
      <c r="C74" s="132">
        <f t="shared" si="22"/>
        <v>2</v>
      </c>
      <c r="D74" s="132">
        <f t="shared" si="22"/>
        <v>3</v>
      </c>
      <c r="E74" s="132">
        <f t="shared" si="22"/>
        <v>4</v>
      </c>
      <c r="F74" s="132">
        <f t="shared" si="22"/>
        <v>5</v>
      </c>
      <c r="G74" s="132">
        <f t="shared" si="22"/>
        <v>6</v>
      </c>
      <c r="H74" s="132">
        <f t="shared" si="22"/>
        <v>7</v>
      </c>
      <c r="I74" s="132">
        <f t="shared" si="22"/>
        <v>8</v>
      </c>
      <c r="J74" s="132">
        <f t="shared" si="22"/>
        <v>9</v>
      </c>
      <c r="K74" s="132">
        <f t="shared" si="22"/>
        <v>10</v>
      </c>
      <c r="L74" s="132">
        <f t="shared" si="22"/>
        <v>11</v>
      </c>
      <c r="M74" s="132">
        <f t="shared" si="22"/>
        <v>12</v>
      </c>
      <c r="N74" s="132">
        <f t="shared" si="22"/>
        <v>13</v>
      </c>
      <c r="O74" s="132">
        <f t="shared" si="22"/>
        <v>14</v>
      </c>
      <c r="P74" s="132">
        <f t="shared" si="22"/>
        <v>15</v>
      </c>
      <c r="Q74" s="132">
        <f t="shared" si="22"/>
        <v>16</v>
      </c>
      <c r="R74" s="132">
        <f t="shared" si="22"/>
        <v>17</v>
      </c>
      <c r="S74" s="132">
        <f t="shared" si="22"/>
        <v>18</v>
      </c>
      <c r="T74" s="132">
        <f t="shared" si="22"/>
        <v>19</v>
      </c>
      <c r="U74" s="132">
        <f t="shared" si="22"/>
        <v>20</v>
      </c>
      <c r="V74" s="132">
        <f t="shared" si="22"/>
        <v>21</v>
      </c>
      <c r="W74" s="132">
        <f t="shared" si="22"/>
        <v>22</v>
      </c>
      <c r="X74" s="132">
        <f t="shared" si="22"/>
        <v>23</v>
      </c>
      <c r="Y74" s="132">
        <f t="shared" si="22"/>
        <v>24</v>
      </c>
      <c r="Z74" s="132">
        <f t="shared" si="22"/>
        <v>25</v>
      </c>
      <c r="AA74" s="132">
        <f t="shared" si="22"/>
        <v>26</v>
      </c>
      <c r="AB74" s="132">
        <f t="shared" si="22"/>
        <v>27</v>
      </c>
      <c r="AC74" s="132">
        <f t="shared" si="22"/>
        <v>28</v>
      </c>
      <c r="AD74" s="132">
        <f t="shared" si="22"/>
        <v>29</v>
      </c>
      <c r="AE74" s="132">
        <f t="shared" si="22"/>
        <v>30</v>
      </c>
      <c r="AF74" s="132">
        <f t="shared" si="22"/>
        <v>31</v>
      </c>
      <c r="AG74" s="132">
        <f t="shared" si="22"/>
        <v>32</v>
      </c>
      <c r="AH74" s="132">
        <f t="shared" si="22"/>
        <v>33</v>
      </c>
      <c r="AI74" s="132">
        <f t="shared" si="22"/>
        <v>34</v>
      </c>
      <c r="AJ74" s="132">
        <f t="shared" si="22"/>
        <v>35</v>
      </c>
      <c r="AK74" s="132">
        <f t="shared" si="22"/>
        <v>36</v>
      </c>
      <c r="AL74" s="132">
        <f t="shared" si="22"/>
        <v>37</v>
      </c>
      <c r="AM74" s="132">
        <f t="shared" si="22"/>
        <v>38</v>
      </c>
      <c r="AN74" s="132">
        <f t="shared" si="22"/>
        <v>39</v>
      </c>
      <c r="AO74" s="132">
        <f t="shared" si="22"/>
        <v>40</v>
      </c>
      <c r="AP74" s="132">
        <f>AP58</f>
        <v>41</v>
      </c>
    </row>
    <row r="75" spans="1:45" ht="28.5" x14ac:dyDescent="0.2">
      <c r="A75" s="140" t="s">
        <v>292</v>
      </c>
      <c r="B75" s="141">
        <f t="shared" ref="B75:AO75" si="23">B68</f>
        <v>0</v>
      </c>
      <c r="C75" s="141">
        <f t="shared" si="23"/>
        <v>2002504.9186405079</v>
      </c>
      <c r="D75" s="141">
        <f>D68</f>
        <v>5120015.3142358158</v>
      </c>
      <c r="E75" s="141">
        <f t="shared" si="23"/>
        <v>8635249.0701053925</v>
      </c>
      <c r="F75" s="141">
        <f t="shared" si="23"/>
        <v>9423680.0088231564</v>
      </c>
      <c r="G75" s="141">
        <f t="shared" si="23"/>
        <v>9863935.167877933</v>
      </c>
      <c r="H75" s="141">
        <f t="shared" si="23"/>
        <v>10323653.558407325</v>
      </c>
      <c r="I75" s="141">
        <f t="shared" si="23"/>
        <v>10803695.630020257</v>
      </c>
      <c r="J75" s="141">
        <f t="shared" si="23"/>
        <v>11304959.871925106</v>
      </c>
      <c r="K75" s="141">
        <f t="shared" si="23"/>
        <v>11828384.494621605</v>
      </c>
      <c r="L75" s="141">
        <f t="shared" si="23"/>
        <v>12374949.185938602</v>
      </c>
      <c r="M75" s="141">
        <f t="shared" si="23"/>
        <v>12945676.944704469</v>
      </c>
      <c r="N75" s="141">
        <f t="shared" si="23"/>
        <v>13541635.995482221</v>
      </c>
      <c r="O75" s="141">
        <f t="shared" si="23"/>
        <v>14163941.787953094</v>
      </c>
      <c r="P75" s="141">
        <f t="shared" si="23"/>
        <v>14813759.084690854</v>
      </c>
      <c r="Q75" s="141">
        <f t="shared" si="23"/>
        <v>15492304.141234474</v>
      </c>
      <c r="R75" s="141">
        <f t="shared" si="23"/>
        <v>16200846.982539594</v>
      </c>
      <c r="S75" s="141">
        <f t="shared" si="23"/>
        <v>16940713.780069582</v>
      </c>
      <c r="T75" s="141">
        <f t="shared" si="23"/>
        <v>17713289.33397536</v>
      </c>
      <c r="U75" s="141">
        <f t="shared" si="23"/>
        <v>18520019.66500989</v>
      </c>
      <c r="V75" s="141">
        <f t="shared" si="23"/>
        <v>19362414.721028518</v>
      </c>
      <c r="W75" s="141">
        <f t="shared" si="23"/>
        <v>20242051.203140963</v>
      </c>
      <c r="X75" s="141">
        <f t="shared" si="23"/>
        <v>21160575.516804617</v>
      </c>
      <c r="Y75" s="141">
        <f t="shared" si="23"/>
        <v>22119706.853382625</v>
      </c>
      <c r="Z75" s="141">
        <f t="shared" si="23"/>
        <v>23121240.407934532</v>
      </c>
      <c r="AA75" s="141">
        <f t="shared" si="23"/>
        <v>24167050.739262186</v>
      </c>
      <c r="AB75" s="141">
        <f t="shared" si="23"/>
        <v>25259095.278499808</v>
      </c>
      <c r="AC75" s="141">
        <f t="shared" si="23"/>
        <v>26399417.992815278</v>
      </c>
      <c r="AD75" s="141">
        <f t="shared" si="23"/>
        <v>27590153.211079903</v>
      </c>
      <c r="AE75" s="141">
        <f t="shared" si="23"/>
        <v>28833529.618667144</v>
      </c>
      <c r="AF75" s="141">
        <f t="shared" si="23"/>
        <v>30131874.428857334</v>
      </c>
      <c r="AG75" s="141">
        <f t="shared" si="23"/>
        <v>31487617.738655914</v>
      </c>
      <c r="AH75" s="141">
        <f t="shared" si="23"/>
        <v>32903297.077177983</v>
      </c>
      <c r="AI75" s="141">
        <f t="shared" si="23"/>
        <v>34381562.155112267</v>
      </c>
      <c r="AJ75" s="141">
        <f t="shared" si="23"/>
        <v>35925179.824154064</v>
      </c>
      <c r="AK75" s="141">
        <f t="shared" si="23"/>
        <v>37537039.255689606</v>
      </c>
      <c r="AL75" s="141">
        <f t="shared" si="23"/>
        <v>39220157.348424897</v>
      </c>
      <c r="AM75" s="141">
        <f t="shared" si="23"/>
        <v>40977684.375080116</v>
      </c>
      <c r="AN75" s="141">
        <f t="shared" si="23"/>
        <v>42812909.878718846</v>
      </c>
      <c r="AO75" s="141">
        <f t="shared" si="23"/>
        <v>44729268.829747781</v>
      </c>
      <c r="AP75" s="141">
        <f>AP68</f>
        <v>-534820.7328</v>
      </c>
    </row>
    <row r="76" spans="1:45" x14ac:dyDescent="0.2">
      <c r="A76" s="142" t="s">
        <v>291</v>
      </c>
      <c r="B76" s="134">
        <f t="shared" ref="B76:AO76" si="24">-B67</f>
        <v>0</v>
      </c>
      <c r="C76" s="134">
        <f>-C67</f>
        <v>534820.7328</v>
      </c>
      <c r="D76" s="134">
        <f t="shared" si="24"/>
        <v>534820.7328</v>
      </c>
      <c r="E76" s="134">
        <f t="shared" si="24"/>
        <v>534820.7328</v>
      </c>
      <c r="F76" s="134">
        <f t="shared" si="24"/>
        <v>534820.7328</v>
      </c>
      <c r="G76" s="134">
        <f t="shared" si="24"/>
        <v>534820.7328</v>
      </c>
      <c r="H76" s="134">
        <f t="shared" si="24"/>
        <v>534820.7328</v>
      </c>
      <c r="I76" s="134">
        <f t="shared" si="24"/>
        <v>534820.7328</v>
      </c>
      <c r="J76" s="134">
        <f t="shared" si="24"/>
        <v>534820.7328</v>
      </c>
      <c r="K76" s="134">
        <f t="shared" si="24"/>
        <v>534820.7328</v>
      </c>
      <c r="L76" s="134">
        <f>-L67</f>
        <v>534820.7328</v>
      </c>
      <c r="M76" s="134">
        <f>-M67</f>
        <v>534820.7328</v>
      </c>
      <c r="N76" s="134">
        <f t="shared" si="24"/>
        <v>534820.7328</v>
      </c>
      <c r="O76" s="134">
        <f t="shared" si="24"/>
        <v>534820.7328</v>
      </c>
      <c r="P76" s="134">
        <f t="shared" si="24"/>
        <v>534820.7328</v>
      </c>
      <c r="Q76" s="134">
        <f t="shared" si="24"/>
        <v>534820.7328</v>
      </c>
      <c r="R76" s="134">
        <f t="shared" si="24"/>
        <v>534820.7328</v>
      </c>
      <c r="S76" s="134">
        <f t="shared" si="24"/>
        <v>534820.7328</v>
      </c>
      <c r="T76" s="134">
        <f t="shared" si="24"/>
        <v>534820.7328</v>
      </c>
      <c r="U76" s="134">
        <f t="shared" si="24"/>
        <v>534820.7328</v>
      </c>
      <c r="V76" s="134">
        <f t="shared" si="24"/>
        <v>534820.7328</v>
      </c>
      <c r="W76" s="134">
        <f t="shared" si="24"/>
        <v>534820.7328</v>
      </c>
      <c r="X76" s="134">
        <f t="shared" si="24"/>
        <v>534820.7328</v>
      </c>
      <c r="Y76" s="134">
        <f t="shared" si="24"/>
        <v>534820.7328</v>
      </c>
      <c r="Z76" s="134">
        <f t="shared" si="24"/>
        <v>534820.7328</v>
      </c>
      <c r="AA76" s="134">
        <f t="shared" si="24"/>
        <v>534820.7328</v>
      </c>
      <c r="AB76" s="134">
        <f t="shared" si="24"/>
        <v>534820.7328</v>
      </c>
      <c r="AC76" s="134">
        <f t="shared" si="24"/>
        <v>534820.7328</v>
      </c>
      <c r="AD76" s="134">
        <f t="shared" si="24"/>
        <v>534820.7328</v>
      </c>
      <c r="AE76" s="134">
        <f t="shared" si="24"/>
        <v>534820.7328</v>
      </c>
      <c r="AF76" s="134">
        <f t="shared" si="24"/>
        <v>534820.7328</v>
      </c>
      <c r="AG76" s="134">
        <f t="shared" si="24"/>
        <v>534820.7328</v>
      </c>
      <c r="AH76" s="134">
        <f t="shared" si="24"/>
        <v>534820.7328</v>
      </c>
      <c r="AI76" s="134">
        <f t="shared" si="24"/>
        <v>534820.7328</v>
      </c>
      <c r="AJ76" s="134">
        <f t="shared" si="24"/>
        <v>534820.7328</v>
      </c>
      <c r="AK76" s="134">
        <f t="shared" si="24"/>
        <v>534820.7328</v>
      </c>
      <c r="AL76" s="134">
        <f t="shared" si="24"/>
        <v>534820.7328</v>
      </c>
      <c r="AM76" s="134">
        <f t="shared" si="24"/>
        <v>534820.7328</v>
      </c>
      <c r="AN76" s="134">
        <f t="shared" si="24"/>
        <v>534820.7328</v>
      </c>
      <c r="AO76" s="134">
        <f t="shared" si="24"/>
        <v>534820.7328</v>
      </c>
      <c r="AP76" s="134">
        <f>-AP67</f>
        <v>534820.7328</v>
      </c>
    </row>
    <row r="77" spans="1:45" x14ac:dyDescent="0.2">
      <c r="A77" s="142" t="s">
        <v>293</v>
      </c>
      <c r="B77" s="134">
        <f t="shared" ref="B77:AO77" si="25">B69</f>
        <v>0</v>
      </c>
      <c r="C77" s="134">
        <f t="shared" si="25"/>
        <v>0</v>
      </c>
      <c r="D77" s="134">
        <f t="shared" si="25"/>
        <v>0</v>
      </c>
      <c r="E77" s="134">
        <f t="shared" si="25"/>
        <v>0</v>
      </c>
      <c r="F77" s="134">
        <f t="shared" si="25"/>
        <v>0</v>
      </c>
      <c r="G77" s="134">
        <f t="shared" si="25"/>
        <v>0</v>
      </c>
      <c r="H77" s="134">
        <f t="shared" si="25"/>
        <v>0</v>
      </c>
      <c r="I77" s="134">
        <f t="shared" si="25"/>
        <v>0</v>
      </c>
      <c r="J77" s="134">
        <f t="shared" si="25"/>
        <v>0</v>
      </c>
      <c r="K77" s="134">
        <f t="shared" si="25"/>
        <v>0</v>
      </c>
      <c r="L77" s="134">
        <f t="shared" si="25"/>
        <v>0</v>
      </c>
      <c r="M77" s="134">
        <f t="shared" si="25"/>
        <v>0</v>
      </c>
      <c r="N77" s="134">
        <f t="shared" si="25"/>
        <v>0</v>
      </c>
      <c r="O77" s="134">
        <f t="shared" si="25"/>
        <v>0</v>
      </c>
      <c r="P77" s="134">
        <f t="shared" si="25"/>
        <v>0</v>
      </c>
      <c r="Q77" s="134">
        <f t="shared" si="25"/>
        <v>0</v>
      </c>
      <c r="R77" s="134">
        <f t="shared" si="25"/>
        <v>0</v>
      </c>
      <c r="S77" s="134">
        <f t="shared" si="25"/>
        <v>0</v>
      </c>
      <c r="T77" s="134">
        <f t="shared" si="25"/>
        <v>0</v>
      </c>
      <c r="U77" s="134">
        <f t="shared" si="25"/>
        <v>0</v>
      </c>
      <c r="V77" s="134">
        <f t="shared" si="25"/>
        <v>0</v>
      </c>
      <c r="W77" s="134">
        <f t="shared" si="25"/>
        <v>0</v>
      </c>
      <c r="X77" s="134">
        <f t="shared" si="25"/>
        <v>0</v>
      </c>
      <c r="Y77" s="134">
        <f t="shared" si="25"/>
        <v>0</v>
      </c>
      <c r="Z77" s="134">
        <f t="shared" si="25"/>
        <v>0</v>
      </c>
      <c r="AA77" s="134">
        <f t="shared" si="25"/>
        <v>0</v>
      </c>
      <c r="AB77" s="134">
        <f t="shared" si="25"/>
        <v>0</v>
      </c>
      <c r="AC77" s="134">
        <f t="shared" si="25"/>
        <v>0</v>
      </c>
      <c r="AD77" s="134">
        <f t="shared" si="25"/>
        <v>0</v>
      </c>
      <c r="AE77" s="134">
        <f t="shared" si="25"/>
        <v>0</v>
      </c>
      <c r="AF77" s="134">
        <f t="shared" si="25"/>
        <v>0</v>
      </c>
      <c r="AG77" s="134">
        <f t="shared" si="25"/>
        <v>0</v>
      </c>
      <c r="AH77" s="134">
        <f t="shared" si="25"/>
        <v>0</v>
      </c>
      <c r="AI77" s="134">
        <f t="shared" si="25"/>
        <v>0</v>
      </c>
      <c r="AJ77" s="134">
        <f t="shared" si="25"/>
        <v>0</v>
      </c>
      <c r="AK77" s="134">
        <f t="shared" si="25"/>
        <v>0</v>
      </c>
      <c r="AL77" s="134">
        <f t="shared" si="25"/>
        <v>0</v>
      </c>
      <c r="AM77" s="134">
        <f t="shared" si="25"/>
        <v>0</v>
      </c>
      <c r="AN77" s="134">
        <f t="shared" si="25"/>
        <v>0</v>
      </c>
      <c r="AO77" s="134">
        <f t="shared" si="25"/>
        <v>0</v>
      </c>
      <c r="AP77" s="134">
        <f>AP69</f>
        <v>0</v>
      </c>
    </row>
    <row r="78" spans="1:45" x14ac:dyDescent="0.2">
      <c r="A78" s="142" t="s">
        <v>265</v>
      </c>
      <c r="B78" s="134">
        <f>IF(SUM($B$71:B71)+SUM($A$78:A78)&gt;0,0,SUM($B$71:B71)-SUM($A$78:A78))</f>
        <v>0</v>
      </c>
      <c r="C78" s="134">
        <f>IF(SUM($B$71:C71)+SUM($A$78:B78)&gt;0,0,SUM($B$71:C71)-SUM($A$78:B78))</f>
        <v>-400500.98372810159</v>
      </c>
      <c r="D78" s="134">
        <f>IF(SUM($B$71:D71)+SUM($A$78:C78)&gt;0,0,SUM($B$71:D71)-SUM($A$78:C78))</f>
        <v>-1024003.0628471632</v>
      </c>
      <c r="E78" s="134">
        <f>IF(SUM($B$71:E71)+SUM($A$78:D78)&gt;0,0,SUM($B$71:E71)-SUM($A$78:D78))</f>
        <v>-1727049.8140210786</v>
      </c>
      <c r="F78" s="134">
        <f>IF(SUM($B$71:F71)+SUM($A$78:E78)&gt;0,0,SUM($B$71:F71)-SUM($A$78:E78))</f>
        <v>-1884736.0017646314</v>
      </c>
      <c r="G78" s="134">
        <f>IF(SUM($B$71:G71)+SUM($A$78:F78)&gt;0,0,SUM($B$71:G71)-SUM($A$78:F78))</f>
        <v>-1972787.033575587</v>
      </c>
      <c r="H78" s="134">
        <f>IF(SUM($B$71:H71)+SUM($A$78:G78)&gt;0,0,SUM($B$71:H71)-SUM($A$78:G78))</f>
        <v>-2064730.7116814647</v>
      </c>
      <c r="I78" s="134">
        <f>IF(SUM($B$71:I71)+SUM($A$78:H78)&gt;0,0,SUM($B$71:I71)-SUM($A$78:H78))</f>
        <v>-2160739.1260040514</v>
      </c>
      <c r="J78" s="134">
        <f>IF(SUM($B$71:J71)+SUM($A$78:I78)&gt;0,0,SUM($B$71:J71)-SUM($A$78:I78))</f>
        <v>-2260991.9743850213</v>
      </c>
      <c r="K78" s="134">
        <f>IF(SUM($B$71:K71)+SUM($A$78:J78)&gt;0,0,SUM($B$71:K71)-SUM($A$78:J78))</f>
        <v>-2365676.8989243209</v>
      </c>
      <c r="L78" s="134">
        <f>IF(SUM($B$71:L71)+SUM($A$78:K78)&gt;0,0,SUM($B$71:L71)-SUM($A$78:K78))</f>
        <v>-2474989.8371877205</v>
      </c>
      <c r="M78" s="134">
        <f>IF(SUM($B$71:M71)+SUM($A$78:L78)&gt;0,0,SUM($B$71:M71)-SUM($A$78:L78))</f>
        <v>-2589135.3889408931</v>
      </c>
      <c r="N78" s="134">
        <f>IF(SUM($B$71:N71)+SUM($A$78:M78)&gt;0,0,SUM($B$71:N71)-SUM($A$78:M78))</f>
        <v>-2708327.199096445</v>
      </c>
      <c r="O78" s="134">
        <f>IF(SUM($B$71:O71)+SUM($A$78:N78)&gt;0,0,SUM($B$71:O71)-SUM($A$78:N78))</f>
        <v>-2832788.3575906195</v>
      </c>
      <c r="P78" s="134">
        <f>IF(SUM($B$71:P71)+SUM($A$78:O78)&gt;0,0,SUM($B$71:P71)-SUM($A$78:O78))</f>
        <v>-2962751.8169381693</v>
      </c>
      <c r="Q78" s="134">
        <f>IF(SUM($B$71:Q71)+SUM($A$78:P78)&gt;0,0,SUM($B$71:Q71)-SUM($A$78:P78))</f>
        <v>-3098460.8282468952</v>
      </c>
      <c r="R78" s="134">
        <f>IF(SUM($B$71:R71)+SUM($A$78:Q78)&gt;0,0,SUM($B$71:R71)-SUM($A$78:Q78))</f>
        <v>-3240169.3965079226</v>
      </c>
      <c r="S78" s="134">
        <f>IF(SUM($B$71:S71)+SUM($A$78:R78)&gt;0,0,SUM($B$71:S71)-SUM($A$78:R78))</f>
        <v>-3388142.7560139149</v>
      </c>
      <c r="T78" s="134">
        <f>IF(SUM($B$71:T71)+SUM($A$78:S78)&gt;0,0,SUM($B$71:T71)-SUM($A$78:S78))</f>
        <v>-3542657.8667950705</v>
      </c>
      <c r="U78" s="134">
        <f>IF(SUM($B$71:U71)+SUM($A$78:T78)&gt;0,0,SUM($B$71:U71)-SUM($A$78:T78))</f>
        <v>-3704003.9330019802</v>
      </c>
      <c r="V78" s="134">
        <f>IF(SUM($B$71:V71)+SUM($A$78:U78)&gt;0,0,SUM($B$71:V71)-SUM($A$78:U78))</f>
        <v>-3872482.9442057014</v>
      </c>
      <c r="W78" s="134">
        <f>IF(SUM($B$71:W71)+SUM($A$78:V78)&gt;0,0,SUM($B$71:W71)-SUM($A$78:V78))</f>
        <v>-4048410.2406281903</v>
      </c>
      <c r="X78" s="134">
        <f>IF(SUM($B$71:X71)+SUM($A$78:W78)&gt;0,0,SUM($B$71:X71)-SUM($A$78:W78))</f>
        <v>-4232115.1033609211</v>
      </c>
      <c r="Y78" s="134">
        <f>IF(SUM($B$71:Y71)+SUM($A$78:X78)&gt;0,0,SUM($B$71:Y71)-SUM($A$78:X78))</f>
        <v>-4423941.3706765249</v>
      </c>
      <c r="Z78" s="134">
        <f>IF(SUM($B$71:Z71)+SUM($A$78:Y78)&gt;0,0,SUM($B$71:Z71)-SUM($A$78:Y78))</f>
        <v>-4624248.0815869048</v>
      </c>
      <c r="AA78" s="134">
        <f>IF(SUM($B$71:AA71)+SUM($A$78:Z78)&gt;0,0,SUM($B$71:AA71)-SUM($A$78:Z78))</f>
        <v>-4833410.1478524357</v>
      </c>
      <c r="AB78" s="134">
        <f>IF(SUM($B$71:AB71)+SUM($A$78:AA78)&gt;0,0,SUM($B$71:AB71)-SUM($A$78:AA78))</f>
        <v>-5051819.0556999594</v>
      </c>
      <c r="AC78" s="134">
        <f>IF(SUM($B$71:AC71)+SUM($A$78:AB78)&gt;0,0,SUM($B$71:AC71)-SUM($A$78:AB78))</f>
        <v>-5279883.5985630602</v>
      </c>
      <c r="AD78" s="134">
        <f>IF(SUM($B$71:AD71)+SUM($A$78:AC78)&gt;0,0,SUM($B$71:AD71)-SUM($A$78:AC78))</f>
        <v>-5518030.6422159821</v>
      </c>
      <c r="AE78" s="134">
        <f>IF(SUM($B$71:AE71)+SUM($A$78:AD78)&gt;0,0,SUM($B$71:AE71)-SUM($A$78:AD78))</f>
        <v>-5766705.9237334281</v>
      </c>
      <c r="AF78" s="134">
        <f>IF(SUM($B$71:AF71)+SUM($A$78:AE78)&gt;0,0,SUM($B$71:AF71)-SUM($A$78:AE78))</f>
        <v>-6026374.8857714683</v>
      </c>
      <c r="AG78" s="134">
        <f>IF(SUM($B$71:AG71)+SUM($A$78:AF78)&gt;0,0,SUM($B$71:AG71)-SUM($A$78:AF78))</f>
        <v>-6297523.5477311909</v>
      </c>
      <c r="AH78" s="134">
        <f>IF(SUM($B$71:AH71)+SUM($A$78:AG78)&gt;0,0,SUM($B$71:AH71)-SUM($A$78:AG78))</f>
        <v>-6580659.4154355973</v>
      </c>
      <c r="AI78" s="134">
        <f>IF(SUM($B$71:AI71)+SUM($A$78:AH78)&gt;0,0,SUM($B$71:AI71)-SUM($A$78:AH78))</f>
        <v>-6876312.4310224503</v>
      </c>
      <c r="AJ78" s="134">
        <f>IF(SUM($B$71:AJ71)+SUM($A$78:AI78)&gt;0,0,SUM($B$71:AJ71)-SUM($A$78:AI78))</f>
        <v>-7185035.9648308158</v>
      </c>
      <c r="AK78" s="134">
        <f>IF(SUM($B$71:AK71)+SUM($A$78:AJ78)&gt;0,0,SUM($B$71:AK71)-SUM($A$78:AJ78))</f>
        <v>-7507407.8511379361</v>
      </c>
      <c r="AL78" s="134">
        <f>IF(SUM($B$71:AL71)+SUM($A$78:AK78)&gt;0,0,SUM($B$71:AL71)-SUM($A$78:AK78))</f>
        <v>-7844031.4696849883</v>
      </c>
      <c r="AM78" s="134">
        <f>IF(SUM($B$71:AM71)+SUM($A$78:AL78)&gt;0,0,SUM($B$71:AM71)-SUM($A$78:AL78))</f>
        <v>-8195536.8750160336</v>
      </c>
      <c r="AN78" s="134">
        <f>IF(SUM($B$71:AN71)+SUM($A$78:AM78)&gt;0,0,SUM($B$71:AN71)-SUM($A$78:AM78))</f>
        <v>-8562581.9757437706</v>
      </c>
      <c r="AO78" s="134">
        <f>IF(SUM($B$71:AO71)+SUM($A$78:AN78)&gt;0,0,SUM($B$71:AO71)-SUM($A$78:AN78))</f>
        <v>-8945853.7659495473</v>
      </c>
      <c r="AP78" s="134">
        <f>IF(SUM($B$71:AP71)+SUM($A$78:AO78)&gt;0,0,SUM($B$71:AP71)-SUM($A$78:AO78))</f>
        <v>106964.14656001329</v>
      </c>
    </row>
    <row r="79" spans="1:45" x14ac:dyDescent="0.2">
      <c r="A79" s="142" t="s">
        <v>297</v>
      </c>
      <c r="B79" s="134"/>
      <c r="C79" s="134"/>
      <c r="D79" s="134"/>
      <c r="E79" s="134"/>
      <c r="F79" s="134"/>
      <c r="G79" s="134"/>
      <c r="H79" s="134"/>
      <c r="I79" s="134"/>
      <c r="J79" s="134"/>
      <c r="K79" s="134"/>
      <c r="L79" s="134"/>
      <c r="M79" s="134"/>
      <c r="N79" s="134">
        <f>IF(((SUM($B$59:N59)+SUM($B$61:N64))+SUM($B$81:N81))&lt;0,((SUM($B$59:N59)+SUM($B$61:N64))+SUM($B$81:N81))*0.18-SUM($A$79:M79),IF(SUM($B$79:M79)&lt;0,0-SUM($B$79:M79),0))</f>
        <v>0</v>
      </c>
      <c r="O79" s="134">
        <f>IF(((SUM($B$59:O59)+SUM($B$61:O64))+SUM($B$81:O81))&lt;0,((SUM($B$59:O59)+SUM($B$61:O64))+SUM($B$81:O81))*0.18-SUM($A$79:N79),IF(SUM($B$79:N79)&lt;0,0-SUM($B$79:N79),0))</f>
        <v>0</v>
      </c>
      <c r="P79" s="134">
        <f>IF(((SUM($B$59:P59)+SUM($B$61:P64))+SUM($B$81:P81))&lt;0,((SUM($B$59:P59)+SUM($B$61:P64))+SUM($B$81:P81))*0.18-SUM($A$79:O79),IF(SUM($B$79:O79)&lt;0,0-SUM($B$79:O79),0))</f>
        <v>0</v>
      </c>
      <c r="Q79" s="134">
        <f>IF(((SUM($B$59:Q59)+SUM($B$61:Q64))+SUM($B$81:Q81))&lt;0,((SUM($B$59:Q59)+SUM($B$61:Q64))+SUM($B$81:Q81))*0.18-SUM($A$79:P79),IF(SUM($B$79:P79)&lt;0,0-SUM($B$79:P79),0))</f>
        <v>0</v>
      </c>
      <c r="R79" s="134">
        <f>IF(((SUM($B$59:R59)+SUM($B$61:R64))+SUM($B$81:R81))&lt;0,((SUM($B$59:R59)+SUM($B$61:R64))+SUM($B$81:R81))*0.18-SUM($A$79:Q79),IF(SUM($B$79:Q79)&lt;0,0-SUM($B$79:Q79),0))</f>
        <v>0</v>
      </c>
      <c r="S79" s="134">
        <f>IF(((SUM($B$59:S59)+SUM($B$61:S64))+SUM($B$81:S81))&lt;0,((SUM($B$59:S59)+SUM($B$61:S64))+SUM($B$81:S81))*0.18-SUM($A$79:R79),IF(SUM($B$79:R79)&lt;0,0-SUM($B$79:R79),0))</f>
        <v>0</v>
      </c>
      <c r="T79" s="134">
        <f>IF(((SUM($B$59:T59)+SUM($B$61:T64))+SUM($B$81:T81))&lt;0,((SUM($B$59:T59)+SUM($B$61:T64))+SUM($B$81:T81))*0.18-SUM($A$79:S79),IF(SUM($B$79:S79)&lt;0,0-SUM($B$79:S79),0))</f>
        <v>0</v>
      </c>
      <c r="U79" s="134">
        <f>IF(((SUM($B$59:U59)+SUM($B$61:U64))+SUM($B$81:U81))&lt;0,((SUM($B$59:U59)+SUM($B$61:U64))+SUM($B$81:U81))*0.18-SUM($A$79:T79),IF(SUM($B$79:T79)&lt;0,0-SUM($B$79:T79),0))</f>
        <v>0</v>
      </c>
      <c r="V79" s="134">
        <f>IF(((SUM($B$59:V59)+SUM($B$61:V64))+SUM($B$81:V81))&lt;0,((SUM($B$59:V59)+SUM($B$61:V64))+SUM($B$81:V81))*0.18-SUM($A$79:U79),IF(SUM($B$79:U79)&lt;0,0-SUM($B$79:U79),0))</f>
        <v>0</v>
      </c>
      <c r="W79" s="134">
        <f>IF(((SUM($B$59:W59)+SUM($B$61:W64))+SUM($B$81:W81))&lt;0,((SUM($B$59:W59)+SUM($B$61:W64))+SUM($B$81:W81))*0.18-SUM($A$79:V79),IF(SUM($B$79:V79)&lt;0,0-SUM($B$79:V79),0))</f>
        <v>0</v>
      </c>
      <c r="X79" s="134">
        <f>IF(((SUM($B$59:X59)+SUM($B$61:X64))+SUM($B$81:X81))&lt;0,((SUM($B$59:X59)+SUM($B$61:X64))+SUM($B$81:X81))*0.18-SUM($A$79:W79),IF(SUM($B$79:W79)&lt;0,0-SUM($B$79:W79),0))</f>
        <v>0</v>
      </c>
      <c r="Y79" s="134">
        <f>IF(((SUM($B$59:Y59)+SUM($B$61:Y64))+SUM($B$81:Y81))&lt;0,((SUM($B$59:Y59)+SUM($B$61:Y64))+SUM($B$81:Y81))*0.18-SUM($A$79:X79),IF(SUM($B$79:X79)&lt;0,0-SUM($B$79:X79),0))</f>
        <v>0</v>
      </c>
      <c r="Z79" s="134">
        <f>IF(((SUM($B$59:Z59)+SUM($B$61:Z64))+SUM($B$81:Z81))&lt;0,((SUM($B$59:Z59)+SUM($B$61:Z64))+SUM($B$81:Z81))*0.18-SUM($A$79:Y79),IF(SUM($B$79:Y79)&lt;0,0-SUM($B$79:Y79),0))</f>
        <v>0</v>
      </c>
      <c r="AA79" s="134">
        <f>IF(((SUM($B$59:AA59)+SUM($B$61:AA64))+SUM($B$81:AA81))&lt;0,((SUM($B$59:AA59)+SUM($B$61:AA64))+SUM($B$81:AA81))*0.18-SUM($A$79:Z79),IF(SUM($B$79:Z79)&lt;0,0-SUM($B$79:Z79),0))</f>
        <v>0</v>
      </c>
      <c r="AB79" s="134">
        <f>IF(((SUM($B$59:AB59)+SUM($B$61:AB64))+SUM($B$81:AB81))&lt;0,((SUM($B$59:AB59)+SUM($B$61:AB64))+SUM($B$81:AB81))*0.18-SUM($A$79:AA79),IF(SUM($B$79:AA79)&lt;0,0-SUM($B$79:AA79),0))</f>
        <v>0</v>
      </c>
      <c r="AC79" s="134">
        <f>IF(((SUM($B$59:AC59)+SUM($B$61:AC64))+SUM($B$81:AC81))&lt;0,((SUM($B$59:AC59)+SUM($B$61:AC64))+SUM($B$81:AC81))*0.18-SUM($A$79:AB79),IF(SUM($B$79:AB79)&lt;0,0-SUM($B$79:AB79),0))</f>
        <v>0</v>
      </c>
      <c r="AD79" s="134">
        <f>IF(((SUM($B$59:AD59)+SUM($B$61:AD64))+SUM($B$81:AD81))&lt;0,((SUM($B$59:AD59)+SUM($B$61:AD64))+SUM($B$81:AD81))*0.18-SUM($A$79:AC79),IF(SUM($B$79:AC79)&lt;0,0-SUM($B$79:AC79),0))</f>
        <v>0</v>
      </c>
      <c r="AE79" s="134">
        <f>IF(((SUM($B$59:AE59)+SUM($B$61:AE64))+SUM($B$81:AE81))&lt;0,((SUM($B$59:AE59)+SUM($B$61:AE64))+SUM($B$81:AE81))*0.18-SUM($A$79:AD79),IF(SUM($B$79:AD79)&lt;0,0-SUM($B$79:AD79),0))</f>
        <v>0</v>
      </c>
      <c r="AF79" s="134">
        <f>IF(((SUM($B$59:AF59)+SUM($B$61:AF64))+SUM($B$81:AF81))&lt;0,((SUM($B$59:AF59)+SUM($B$61:AF64))+SUM($B$81:AF81))*0.18-SUM($A$79:AE79),IF(SUM($B$79:AE79)&lt;0,0-SUM($B$79:AE79),0))</f>
        <v>0</v>
      </c>
      <c r="AG79" s="134">
        <f>IF(((SUM($B$59:AG59)+SUM($B$61:AG64))+SUM($B$81:AG81))&lt;0,((SUM($B$59:AG59)+SUM($B$61:AG64))+SUM($B$81:AG81))*0.18-SUM($A$79:AF79),IF(SUM($B$79:AF79)&lt;0,0-SUM($B$79:AF79),0))</f>
        <v>0</v>
      </c>
      <c r="AH79" s="134">
        <f>IF(((SUM($B$59:AH59)+SUM($B$61:AH64))+SUM($B$81:AH81))&lt;0,((SUM($B$59:AH59)+SUM($B$61:AH64))+SUM($B$81:AH81))*0.18-SUM($A$79:AG79),IF(SUM($B$79:AG79)&lt;0,0-SUM($B$79:AG79),0))</f>
        <v>0</v>
      </c>
      <c r="AI79" s="134">
        <f>IF(((SUM($B$59:AI59)+SUM($B$61:AI64))+SUM($B$81:AI81))&lt;0,((SUM($B$59:AI59)+SUM($B$61:AI64))+SUM($B$81:AI81))*0.18-SUM($A$79:AH79),IF(SUM($B$79:AH79)&lt;0,0-SUM($B$79:AH79),0))</f>
        <v>0</v>
      </c>
      <c r="AJ79" s="134">
        <f>IF(((SUM($B$59:AJ59)+SUM($B$61:AJ64))+SUM($B$81:AJ81))&lt;0,((SUM($B$59:AJ59)+SUM($B$61:AJ64))+SUM($B$81:AJ81))*0.18-SUM($A$79:AI79),IF(SUM($B$79:AI79)&lt;0,0-SUM($B$79:AI79),0))</f>
        <v>0</v>
      </c>
      <c r="AK79" s="134">
        <f>IF(((SUM($B$59:AK59)+SUM($B$61:AK64))+SUM($B$81:AK81))&lt;0,((SUM($B$59:AK59)+SUM($B$61:AK64))+SUM($B$81:AK81))*0.18-SUM($A$79:AJ79),IF(SUM($B$79:AJ79)&lt;0,0-SUM($B$79:AJ79),0))</f>
        <v>0</v>
      </c>
      <c r="AL79" s="134">
        <f>IF(((SUM($B$59:AL59)+SUM($B$61:AL64))+SUM($B$81:AL81))&lt;0,((SUM($B$59:AL59)+SUM($B$61:AL64))+SUM($B$81:AL81))*0.18-SUM($A$79:AK79),IF(SUM($B$79:AK79)&lt;0,0-SUM($B$79:AK79),0))</f>
        <v>0</v>
      </c>
      <c r="AM79" s="134">
        <f>IF(((SUM($B$59:AM59)+SUM($B$61:AM64))+SUM($B$81:AM81))&lt;0,((SUM($B$59:AM59)+SUM($B$61:AM64))+SUM($B$81:AM81))*0.18-SUM($A$79:AL79),IF(SUM($B$79:AL79)&lt;0,0-SUM($B$79:AL79),0))</f>
        <v>0</v>
      </c>
      <c r="AN79" s="134">
        <f>IF(((SUM($B$59:AN59)+SUM($B$61:AN64))+SUM($B$81:AN81))&lt;0,((SUM($B$59:AN59)+SUM($B$61:AN64))+SUM($B$81:AN81))*0.18-SUM($A$79:AM79),IF(SUM($B$79:AM79)&lt;0,0-SUM($B$79:AM79),0))</f>
        <v>0</v>
      </c>
      <c r="AO79" s="134">
        <f>IF(((SUM($B$59:AO59)+SUM($B$61:AO64))+SUM($B$81:AO81))&lt;0,((SUM($B$59:AO59)+SUM($B$61:AO64))+SUM($B$81:AO81))*0.18-SUM($A$79:AN79),IF(SUM($B$79:AN79)&lt;0,0-SUM($B$79:AN79),0))</f>
        <v>0</v>
      </c>
      <c r="AP79" s="134">
        <f>IF(((SUM($B$59:AP59)+SUM($B$61:AP64))+SUM($B$81:AP81))&lt;0,((SUM($B$59:AP59)+SUM($B$61:AP64))+SUM($B$81:AP81))*0.18-SUM($A$79:AO79),IF(SUM($B$79:AO79)&lt;0,0-SUM($B$79:AO79),0))</f>
        <v>0</v>
      </c>
    </row>
    <row r="80" spans="1:45" x14ac:dyDescent="0.2">
      <c r="A80" s="142" t="s">
        <v>298</v>
      </c>
      <c r="B80" s="134">
        <f>-B59*(B39)</f>
        <v>0</v>
      </c>
      <c r="C80" s="134">
        <f t="shared" ref="C80:AP80" si="26">-(C59-B59)*$B$39</f>
        <v>0</v>
      </c>
      <c r="D80" s="134">
        <f t="shared" si="26"/>
        <v>0</v>
      </c>
      <c r="E80" s="134">
        <f t="shared" si="26"/>
        <v>0</v>
      </c>
      <c r="F80" s="134">
        <f t="shared" si="26"/>
        <v>0</v>
      </c>
      <c r="G80" s="134">
        <f t="shared" si="26"/>
        <v>0</v>
      </c>
      <c r="H80" s="134">
        <f t="shared" si="26"/>
        <v>0</v>
      </c>
      <c r="I80" s="134">
        <f t="shared" si="26"/>
        <v>0</v>
      </c>
      <c r="J80" s="134">
        <f t="shared" si="26"/>
        <v>0</v>
      </c>
      <c r="K80" s="134">
        <f t="shared" si="26"/>
        <v>0</v>
      </c>
      <c r="L80" s="134">
        <f t="shared" si="26"/>
        <v>0</v>
      </c>
      <c r="M80" s="134">
        <f t="shared" si="26"/>
        <v>0</v>
      </c>
      <c r="N80" s="134">
        <f t="shared" si="26"/>
        <v>0</v>
      </c>
      <c r="O80" s="134">
        <f t="shared" si="26"/>
        <v>0</v>
      </c>
      <c r="P80" s="134">
        <f t="shared" si="26"/>
        <v>0</v>
      </c>
      <c r="Q80" s="134">
        <f t="shared" si="26"/>
        <v>0</v>
      </c>
      <c r="R80" s="134">
        <f t="shared" si="26"/>
        <v>0</v>
      </c>
      <c r="S80" s="134">
        <f t="shared" si="26"/>
        <v>0</v>
      </c>
      <c r="T80" s="134">
        <f t="shared" si="26"/>
        <v>0</v>
      </c>
      <c r="U80" s="134">
        <f t="shared" si="26"/>
        <v>0</v>
      </c>
      <c r="V80" s="134">
        <f t="shared" si="26"/>
        <v>0</v>
      </c>
      <c r="W80" s="134">
        <f t="shared" si="26"/>
        <v>0</v>
      </c>
      <c r="X80" s="134">
        <f t="shared" si="26"/>
        <v>0</v>
      </c>
      <c r="Y80" s="134">
        <f t="shared" si="26"/>
        <v>0</v>
      </c>
      <c r="Z80" s="134">
        <f t="shared" si="26"/>
        <v>0</v>
      </c>
      <c r="AA80" s="134">
        <f t="shared" si="26"/>
        <v>0</v>
      </c>
      <c r="AB80" s="134">
        <f t="shared" si="26"/>
        <v>0</v>
      </c>
      <c r="AC80" s="134">
        <f t="shared" si="26"/>
        <v>0</v>
      </c>
      <c r="AD80" s="134">
        <f t="shared" si="26"/>
        <v>0</v>
      </c>
      <c r="AE80" s="134">
        <f t="shared" si="26"/>
        <v>0</v>
      </c>
      <c r="AF80" s="134">
        <f t="shared" si="26"/>
        <v>0</v>
      </c>
      <c r="AG80" s="134">
        <f t="shared" si="26"/>
        <v>0</v>
      </c>
      <c r="AH80" s="134">
        <f t="shared" si="26"/>
        <v>0</v>
      </c>
      <c r="AI80" s="134">
        <f t="shared" si="26"/>
        <v>0</v>
      </c>
      <c r="AJ80" s="134">
        <f t="shared" si="26"/>
        <v>0</v>
      </c>
      <c r="AK80" s="134">
        <f t="shared" si="26"/>
        <v>0</v>
      </c>
      <c r="AL80" s="134">
        <f t="shared" si="26"/>
        <v>0</v>
      </c>
      <c r="AM80" s="134">
        <f t="shared" si="26"/>
        <v>0</v>
      </c>
      <c r="AN80" s="134">
        <f t="shared" si="26"/>
        <v>0</v>
      </c>
      <c r="AO80" s="134">
        <f t="shared" si="26"/>
        <v>0</v>
      </c>
      <c r="AP80" s="134">
        <f t="shared" si="26"/>
        <v>0</v>
      </c>
    </row>
    <row r="81" spans="1:44" x14ac:dyDescent="0.2">
      <c r="A81" s="142" t="s">
        <v>637</v>
      </c>
      <c r="B81" s="134">
        <f>-'6.2. Паспорт фин осв ввод'!C30*1000000</f>
        <v>-13370518.32</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134"/>
      <c r="AJ81" s="134"/>
      <c r="AK81" s="134"/>
      <c r="AL81" s="134"/>
      <c r="AM81" s="134"/>
      <c r="AN81" s="134"/>
      <c r="AO81" s="134"/>
      <c r="AP81" s="134"/>
      <c r="AQ81" s="145">
        <f>SUM(B81:AP81)</f>
        <v>-13370518.32</v>
      </c>
      <c r="AR81" s="146"/>
    </row>
    <row r="82" spans="1:44" x14ac:dyDescent="0.2">
      <c r="A82" s="142" t="s">
        <v>299</v>
      </c>
      <c r="B82" s="134">
        <f t="shared" ref="B82:AO82" si="27">B54-B55</f>
        <v>0</v>
      </c>
      <c r="C82" s="134">
        <f t="shared" si="27"/>
        <v>0</v>
      </c>
      <c r="D82" s="134">
        <f t="shared" si="27"/>
        <v>0</v>
      </c>
      <c r="E82" s="134">
        <f t="shared" si="27"/>
        <v>0</v>
      </c>
      <c r="F82" s="134">
        <f t="shared" si="27"/>
        <v>0</v>
      </c>
      <c r="G82" s="134">
        <f t="shared" si="27"/>
        <v>0</v>
      </c>
      <c r="H82" s="134">
        <f t="shared" si="27"/>
        <v>0</v>
      </c>
      <c r="I82" s="134">
        <f t="shared" si="27"/>
        <v>0</v>
      </c>
      <c r="J82" s="134">
        <f t="shared" si="27"/>
        <v>0</v>
      </c>
      <c r="K82" s="134">
        <f t="shared" si="27"/>
        <v>0</v>
      </c>
      <c r="L82" s="134">
        <f t="shared" si="27"/>
        <v>0</v>
      </c>
      <c r="M82" s="134">
        <f t="shared" si="27"/>
        <v>0</v>
      </c>
      <c r="N82" s="134">
        <f t="shared" si="27"/>
        <v>0</v>
      </c>
      <c r="O82" s="134">
        <f t="shared" si="27"/>
        <v>0</v>
      </c>
      <c r="P82" s="134">
        <f t="shared" si="27"/>
        <v>0</v>
      </c>
      <c r="Q82" s="134">
        <f t="shared" si="27"/>
        <v>0</v>
      </c>
      <c r="R82" s="134">
        <f t="shared" si="27"/>
        <v>0</v>
      </c>
      <c r="S82" s="134">
        <f t="shared" si="27"/>
        <v>0</v>
      </c>
      <c r="T82" s="134">
        <f t="shared" si="27"/>
        <v>0</v>
      </c>
      <c r="U82" s="134">
        <f t="shared" si="27"/>
        <v>0</v>
      </c>
      <c r="V82" s="134">
        <f t="shared" si="27"/>
        <v>0</v>
      </c>
      <c r="W82" s="134">
        <f t="shared" si="27"/>
        <v>0</v>
      </c>
      <c r="X82" s="134">
        <f t="shared" si="27"/>
        <v>0</v>
      </c>
      <c r="Y82" s="134">
        <f t="shared" si="27"/>
        <v>0</v>
      </c>
      <c r="Z82" s="134">
        <f t="shared" si="27"/>
        <v>0</v>
      </c>
      <c r="AA82" s="134">
        <f t="shared" si="27"/>
        <v>0</v>
      </c>
      <c r="AB82" s="134">
        <f t="shared" si="27"/>
        <v>0</v>
      </c>
      <c r="AC82" s="134">
        <f t="shared" si="27"/>
        <v>0</v>
      </c>
      <c r="AD82" s="134">
        <f t="shared" si="27"/>
        <v>0</v>
      </c>
      <c r="AE82" s="134">
        <f t="shared" si="27"/>
        <v>0</v>
      </c>
      <c r="AF82" s="134">
        <f t="shared" si="27"/>
        <v>0</v>
      </c>
      <c r="AG82" s="134">
        <f t="shared" si="27"/>
        <v>0</v>
      </c>
      <c r="AH82" s="134">
        <f t="shared" si="27"/>
        <v>0</v>
      </c>
      <c r="AI82" s="134">
        <f t="shared" si="27"/>
        <v>0</v>
      </c>
      <c r="AJ82" s="134">
        <f t="shared" si="27"/>
        <v>0</v>
      </c>
      <c r="AK82" s="134">
        <f t="shared" si="27"/>
        <v>0</v>
      </c>
      <c r="AL82" s="134">
        <f t="shared" si="27"/>
        <v>0</v>
      </c>
      <c r="AM82" s="134">
        <f t="shared" si="27"/>
        <v>0</v>
      </c>
      <c r="AN82" s="134">
        <f t="shared" si="27"/>
        <v>0</v>
      </c>
      <c r="AO82" s="134">
        <f t="shared" si="27"/>
        <v>0</v>
      </c>
      <c r="AP82" s="134">
        <f>AP54-AP55</f>
        <v>0</v>
      </c>
    </row>
    <row r="83" spans="1:44" ht="14.25" x14ac:dyDescent="0.2">
      <c r="A83" s="143" t="s">
        <v>300</v>
      </c>
      <c r="B83" s="141">
        <f>SUM(B75:B82)</f>
        <v>-13370518.32</v>
      </c>
      <c r="C83" s="141">
        <f t="shared" ref="C83:V83" si="28">SUM(C75:C82)</f>
        <v>2136824.6677124063</v>
      </c>
      <c r="D83" s="141">
        <f t="shared" si="28"/>
        <v>4630832.9841886526</v>
      </c>
      <c r="E83" s="141">
        <f t="shared" si="28"/>
        <v>7443019.988884313</v>
      </c>
      <c r="F83" s="141">
        <f t="shared" si="28"/>
        <v>8073764.7398585249</v>
      </c>
      <c r="G83" s="141">
        <f t="shared" si="28"/>
        <v>8425968.8671023455</v>
      </c>
      <c r="H83" s="141">
        <f t="shared" si="28"/>
        <v>8793743.57952586</v>
      </c>
      <c r="I83" s="141">
        <f t="shared" si="28"/>
        <v>9177777.2368162051</v>
      </c>
      <c r="J83" s="141">
        <f t="shared" si="28"/>
        <v>9578788.6303400844</v>
      </c>
      <c r="K83" s="141">
        <f t="shared" si="28"/>
        <v>9997528.3284972832</v>
      </c>
      <c r="L83" s="141">
        <f t="shared" si="28"/>
        <v>10434780.081550881</v>
      </c>
      <c r="M83" s="141">
        <f t="shared" si="28"/>
        <v>10891362.288563576</v>
      </c>
      <c r="N83" s="141">
        <f t="shared" si="28"/>
        <v>11368129.529185776</v>
      </c>
      <c r="O83" s="141">
        <f t="shared" si="28"/>
        <v>11865974.163162474</v>
      </c>
      <c r="P83" s="141">
        <f t="shared" si="28"/>
        <v>12385828.000552684</v>
      </c>
      <c r="Q83" s="141">
        <f t="shared" si="28"/>
        <v>12928664.045787578</v>
      </c>
      <c r="R83" s="141">
        <f t="shared" si="28"/>
        <v>13495498.318831671</v>
      </c>
      <c r="S83" s="141">
        <f t="shared" si="28"/>
        <v>14087391.756855667</v>
      </c>
      <c r="T83" s="141">
        <f t="shared" si="28"/>
        <v>14705452.199980289</v>
      </c>
      <c r="U83" s="141">
        <f t="shared" si="28"/>
        <v>15350836.464807909</v>
      </c>
      <c r="V83" s="141">
        <f t="shared" si="28"/>
        <v>16024752.509622816</v>
      </c>
      <c r="W83" s="141">
        <f>SUM(W75:W82)</f>
        <v>16728461.695312772</v>
      </c>
      <c r="X83" s="141">
        <f>SUM(X75:X82)</f>
        <v>17463281.146243695</v>
      </c>
      <c r="Y83" s="141">
        <f>SUM(Y75:Y82)</f>
        <v>18230586.215506099</v>
      </c>
      <c r="Z83" s="141">
        <f>SUM(Z75:Z82)</f>
        <v>19031813.059147626</v>
      </c>
      <c r="AA83" s="141">
        <f t="shared" ref="AA83:AP83" si="29">SUM(AA75:AA82)</f>
        <v>19868461.32420975</v>
      </c>
      <c r="AB83" s="141">
        <f t="shared" si="29"/>
        <v>20742096.955599848</v>
      </c>
      <c r="AC83" s="141">
        <f t="shared" si="29"/>
        <v>21654355.127052218</v>
      </c>
      <c r="AD83" s="141">
        <f t="shared" si="29"/>
        <v>22606943.30166392</v>
      </c>
      <c r="AE83" s="141">
        <f t="shared" si="29"/>
        <v>23601644.427733716</v>
      </c>
      <c r="AF83" s="141">
        <f t="shared" si="29"/>
        <v>24640320.275885865</v>
      </c>
      <c r="AG83" s="141">
        <f t="shared" si="29"/>
        <v>25724914.923724722</v>
      </c>
      <c r="AH83" s="141">
        <f t="shared" si="29"/>
        <v>26857458.394542385</v>
      </c>
      <c r="AI83" s="141">
        <f t="shared" si="29"/>
        <v>28040070.456889816</v>
      </c>
      <c r="AJ83" s="141">
        <f t="shared" si="29"/>
        <v>29274964.592123248</v>
      </c>
      <c r="AK83" s="141">
        <f t="shared" si="29"/>
        <v>30564452.137351669</v>
      </c>
      <c r="AL83" s="141">
        <f t="shared" si="29"/>
        <v>31910946.611539908</v>
      </c>
      <c r="AM83" s="141">
        <f t="shared" si="29"/>
        <v>33316968.232864082</v>
      </c>
      <c r="AN83" s="141">
        <f t="shared" si="29"/>
        <v>34785148.635775074</v>
      </c>
      <c r="AO83" s="141">
        <f t="shared" si="29"/>
        <v>36318235.796598233</v>
      </c>
      <c r="AP83" s="141">
        <f t="shared" si="29"/>
        <v>106964.14656001329</v>
      </c>
    </row>
    <row r="84" spans="1:44" ht="14.25" x14ac:dyDescent="0.2">
      <c r="A84" s="143" t="s">
        <v>301</v>
      </c>
      <c r="B84" s="141">
        <f>SUM($B$83:B83)</f>
        <v>-13370518.32</v>
      </c>
      <c r="C84" s="141">
        <f>SUM($B$83:C83)</f>
        <v>-11233693.652287595</v>
      </c>
      <c r="D84" s="141">
        <f>SUM($B$83:D83)</f>
        <v>-6602860.6680989424</v>
      </c>
      <c r="E84" s="141">
        <f>SUM($B$83:E83)</f>
        <v>840159.32078537066</v>
      </c>
      <c r="F84" s="141">
        <f>SUM($B$83:F83)</f>
        <v>8913924.0606438965</v>
      </c>
      <c r="G84" s="141">
        <f>SUM($B$83:G83)</f>
        <v>17339892.927746244</v>
      </c>
      <c r="H84" s="141">
        <f>SUM($B$83:H83)</f>
        <v>26133636.507272102</v>
      </c>
      <c r="I84" s="141">
        <f>SUM($B$83:I83)</f>
        <v>35311413.744088307</v>
      </c>
      <c r="J84" s="141">
        <f>SUM($B$83:J83)</f>
        <v>44890202.374428391</v>
      </c>
      <c r="K84" s="141">
        <f>SUM($B$83:K83)</f>
        <v>54887730.702925675</v>
      </c>
      <c r="L84" s="141">
        <f>SUM($B$83:L83)</f>
        <v>65322510.784476556</v>
      </c>
      <c r="M84" s="141">
        <f>SUM($B$83:M83)</f>
        <v>76213873.073040128</v>
      </c>
      <c r="N84" s="141">
        <f>SUM($B$83:N83)</f>
        <v>87582002.6022259</v>
      </c>
      <c r="O84" s="141">
        <f>SUM($B$83:O83)</f>
        <v>99447976.76538837</v>
      </c>
      <c r="P84" s="141">
        <f>SUM($B$83:P83)</f>
        <v>111833804.76594105</v>
      </c>
      <c r="Q84" s="141">
        <f>SUM($B$83:Q83)</f>
        <v>124762468.81172863</v>
      </c>
      <c r="R84" s="141">
        <f>SUM($B$83:R83)</f>
        <v>138257967.13056031</v>
      </c>
      <c r="S84" s="141">
        <f>SUM($B$83:S83)</f>
        <v>152345358.88741598</v>
      </c>
      <c r="T84" s="141">
        <f>SUM($B$83:T83)</f>
        <v>167050811.08739626</v>
      </c>
      <c r="U84" s="141">
        <f>SUM($B$83:U83)</f>
        <v>182401647.55220416</v>
      </c>
      <c r="V84" s="141">
        <f>SUM($B$83:V83)</f>
        <v>198426400.06182697</v>
      </c>
      <c r="W84" s="141">
        <f>SUM($B$83:W83)</f>
        <v>215154861.75713974</v>
      </c>
      <c r="X84" s="141">
        <f>SUM($B$83:X83)</f>
        <v>232618142.90338343</v>
      </c>
      <c r="Y84" s="141">
        <f>SUM($B$83:Y83)</f>
        <v>250848729.11888954</v>
      </c>
      <c r="Z84" s="141">
        <f>SUM($B$83:Z83)</f>
        <v>269880542.17803717</v>
      </c>
      <c r="AA84" s="141">
        <f>SUM($B$83:AA83)</f>
        <v>289749003.50224692</v>
      </c>
      <c r="AB84" s="141">
        <f>SUM($B$83:AB83)</f>
        <v>310491100.45784676</v>
      </c>
      <c r="AC84" s="141">
        <f>SUM($B$83:AC83)</f>
        <v>332145455.58489895</v>
      </c>
      <c r="AD84" s="141">
        <f>SUM($B$83:AD83)</f>
        <v>354752398.88656288</v>
      </c>
      <c r="AE84" s="141">
        <f>SUM($B$83:AE83)</f>
        <v>378354043.3142966</v>
      </c>
      <c r="AF84" s="141">
        <f>SUM($B$83:AF83)</f>
        <v>402994363.59018248</v>
      </c>
      <c r="AG84" s="141">
        <f>SUM($B$83:AG83)</f>
        <v>428719278.51390719</v>
      </c>
      <c r="AH84" s="141">
        <f>SUM($B$83:AH83)</f>
        <v>455576736.90844959</v>
      </c>
      <c r="AI84" s="141">
        <f>SUM($B$83:AI83)</f>
        <v>483616807.3653394</v>
      </c>
      <c r="AJ84" s="141">
        <f>SUM($B$83:AJ83)</f>
        <v>512891771.95746267</v>
      </c>
      <c r="AK84" s="141">
        <f>SUM($B$83:AK83)</f>
        <v>543456224.0948143</v>
      </c>
      <c r="AL84" s="141">
        <f>SUM($B$83:AL83)</f>
        <v>575367170.70635426</v>
      </c>
      <c r="AM84" s="141">
        <f>SUM($B$83:AM83)</f>
        <v>608684138.93921828</v>
      </c>
      <c r="AN84" s="141">
        <f>SUM($B$83:AN83)</f>
        <v>643469287.57499337</v>
      </c>
      <c r="AO84" s="141">
        <f>SUM($B$83:AO83)</f>
        <v>679787523.37159157</v>
      </c>
      <c r="AP84" s="141">
        <f>SUM($B$83:AP83)</f>
        <v>679894487.51815152</v>
      </c>
    </row>
    <row r="85" spans="1:44" x14ac:dyDescent="0.2">
      <c r="A85" s="142" t="s">
        <v>302</v>
      </c>
      <c r="B85" s="150">
        <f t="shared" ref="B85:AP85" si="30">1/POWER((1+$B$44),B73)</f>
        <v>0.93777936065805434</v>
      </c>
      <c r="C85" s="150">
        <f t="shared" si="30"/>
        <v>0.82471142437609202</v>
      </c>
      <c r="D85" s="150">
        <f t="shared" si="30"/>
        <v>0.7252760745546496</v>
      </c>
      <c r="E85" s="150">
        <f t="shared" si="30"/>
        <v>0.63782963200655141</v>
      </c>
      <c r="F85" s="150">
        <f t="shared" si="30"/>
        <v>0.56092659573173109</v>
      </c>
      <c r="G85" s="150">
        <f t="shared" si="30"/>
        <v>0.49329574859883135</v>
      </c>
      <c r="H85" s="150">
        <f t="shared" si="30"/>
        <v>0.43381914396168442</v>
      </c>
      <c r="I85" s="150">
        <f t="shared" si="30"/>
        <v>0.38151362585672716</v>
      </c>
      <c r="J85" s="150">
        <f t="shared" si="30"/>
        <v>0.33551457730782436</v>
      </c>
      <c r="K85" s="150">
        <f t="shared" si="30"/>
        <v>0.29506162809587938</v>
      </c>
      <c r="L85" s="150">
        <f t="shared" si="30"/>
        <v>0.25948608574081378</v>
      </c>
      <c r="M85" s="150">
        <f t="shared" si="30"/>
        <v>0.2281998819284265</v>
      </c>
      <c r="N85" s="150">
        <f t="shared" si="30"/>
        <v>0.20068585166513633</v>
      </c>
      <c r="O85" s="150">
        <f t="shared" si="30"/>
        <v>0.17648918447378092</v>
      </c>
      <c r="P85" s="150">
        <f t="shared" si="30"/>
        <v>0.15520990631763337</v>
      </c>
      <c r="Q85" s="150">
        <f t="shared" si="30"/>
        <v>0.13649626797786774</v>
      </c>
      <c r="R85" s="150">
        <f t="shared" si="30"/>
        <v>0.12003893059349906</v>
      </c>
      <c r="S85" s="150">
        <f t="shared" si="30"/>
        <v>0.10556585225002113</v>
      </c>
      <c r="T85" s="150">
        <f t="shared" si="30"/>
        <v>9.2837791091391383E-2</v>
      </c>
      <c r="U85" s="150">
        <f t="shared" si="30"/>
        <v>8.1644350621221856E-2</v>
      </c>
      <c r="V85" s="150">
        <f t="shared" si="30"/>
        <v>7.1800501821494903E-2</v>
      </c>
      <c r="W85" s="150">
        <f t="shared" si="30"/>
        <v>6.314352459897539E-2</v>
      </c>
      <c r="X85" s="150">
        <f t="shared" si="30"/>
        <v>5.5530318001033675E-2</v>
      </c>
      <c r="Y85" s="150">
        <f t="shared" si="30"/>
        <v>4.8835034738399147E-2</v>
      </c>
      <c r="Z85" s="150">
        <f t="shared" si="30"/>
        <v>4.2947000913199494E-2</v>
      </c>
      <c r="AA85" s="150">
        <f t="shared" si="30"/>
        <v>3.7768886565121354E-2</v>
      </c>
      <c r="AB85" s="150">
        <f t="shared" si="30"/>
        <v>3.3215096794583898E-2</v>
      </c>
      <c r="AC85" s="150">
        <f t="shared" si="30"/>
        <v>2.9210356867983386E-2</v>
      </c>
      <c r="AD85" s="150">
        <f t="shared" si="30"/>
        <v>2.5688467916615415E-2</v>
      </c>
      <c r="AE85" s="150">
        <f t="shared" si="30"/>
        <v>2.2591212660817352E-2</v>
      </c>
      <c r="AF85" s="150">
        <f t="shared" si="30"/>
        <v>1.9867393070809383E-2</v>
      </c>
      <c r="AG85" s="150">
        <f t="shared" si="30"/>
        <v>1.7471984056643557E-2</v>
      </c>
      <c r="AH85" s="150">
        <f t="shared" si="30"/>
        <v>1.536538919764625E-2</v>
      </c>
      <c r="AI85" s="150">
        <f t="shared" si="30"/>
        <v>1.351278620846562E-2</v>
      </c>
      <c r="AJ85" s="150">
        <f t="shared" si="30"/>
        <v>1.1883551322192957E-2</v>
      </c>
      <c r="AK85" s="150">
        <f t="shared" si="30"/>
        <v>1.0450753075536858E-2</v>
      </c>
      <c r="AL85" s="150">
        <f t="shared" si="30"/>
        <v>9.1907071282533309E-3</v>
      </c>
      <c r="AM85" s="150">
        <f t="shared" si="30"/>
        <v>8.0825847579397824E-3</v>
      </c>
      <c r="AN85" s="150">
        <f t="shared" si="30"/>
        <v>7.1080685585610632E-3</v>
      </c>
      <c r="AO85" s="150">
        <f t="shared" si="30"/>
        <v>6.251049651359651E-3</v>
      </c>
      <c r="AP85" s="150">
        <f t="shared" si="30"/>
        <v>5.4973614030073455E-3</v>
      </c>
    </row>
    <row r="86" spans="1:44" ht="28.5" x14ac:dyDescent="0.2">
      <c r="A86" s="140" t="s">
        <v>303</v>
      </c>
      <c r="B86" s="141">
        <f>B83*B85</f>
        <v>-12538596.121796403</v>
      </c>
      <c r="C86" s="141">
        <f>C83*C85</f>
        <v>1762263.7153510682</v>
      </c>
      <c r="D86" s="141">
        <f t="shared" ref="D86:AO86" si="31">D83*D85</f>
        <v>3358632.3686905396</v>
      </c>
      <c r="E86" s="141">
        <f t="shared" si="31"/>
        <v>4747378.7005274873</v>
      </c>
      <c r="F86" s="141">
        <f t="shared" si="31"/>
        <v>4528789.3702677274</v>
      </c>
      <c r="G86" s="141">
        <f t="shared" si="31"/>
        <v>4156494.6199676986</v>
      </c>
      <c r="H86" s="141">
        <f t="shared" si="31"/>
        <v>3814894.3118884671</v>
      </c>
      <c r="I86" s="141">
        <f t="shared" si="31"/>
        <v>3501447.0709230849</v>
      </c>
      <c r="J86" s="141">
        <f t="shared" si="31"/>
        <v>3213823.2184295473</v>
      </c>
      <c r="K86" s="141">
        <f t="shared" si="31"/>
        <v>2949886.9855410838</v>
      </c>
      <c r="L86" s="141">
        <f t="shared" si="31"/>
        <v>2707680.2389278477</v>
      </c>
      <c r="M86" s="141">
        <f t="shared" si="31"/>
        <v>2485407.5882899249</v>
      </c>
      <c r="N86" s="141">
        <f t="shared" si="31"/>
        <v>2281422.7564042327</v>
      </c>
      <c r="O86" s="141">
        <f t="shared" si="31"/>
        <v>2094216.1030435001</v>
      </c>
      <c r="P86" s="141">
        <f t="shared" si="31"/>
        <v>1922403.2036321023</v>
      </c>
      <c r="Q86" s="141">
        <f t="shared" si="31"/>
        <v>1764714.392189645</v>
      </c>
      <c r="R86" s="141">
        <f t="shared" si="31"/>
        <v>1619985.1860189182</v>
      </c>
      <c r="S86" s="141">
        <f t="shared" si="31"/>
        <v>1487147.516792391</v>
      </c>
      <c r="T86" s="141">
        <f t="shared" si="31"/>
        <v>1365221.6992462119</v>
      </c>
      <c r="U86" s="141">
        <f t="shared" si="31"/>
        <v>1253309.0746618148</v>
      </c>
      <c r="V86" s="141">
        <f t="shared" si="31"/>
        <v>1150585.271756178</v>
      </c>
      <c r="W86" s="141">
        <f t="shared" si="31"/>
        <v>1056294.0325609995</v>
      </c>
      <c r="X86" s="141">
        <f t="shared" si="31"/>
        <v>969741.55539236823</v>
      </c>
      <c r="Y86" s="141">
        <f t="shared" si="31"/>
        <v>890291.31113562104</v>
      </c>
      <c r="Z86" s="141">
        <f t="shared" si="31"/>
        <v>817359.29283105512</v>
      </c>
      <c r="AA86" s="141">
        <f t="shared" si="31"/>
        <v>750409.66197757889</v>
      </c>
      <c r="AB86" s="141">
        <f t="shared" si="31"/>
        <v>688950.7581028929</v>
      </c>
      <c r="AC86" s="141">
        <f t="shared" si="31"/>
        <v>632531.44100724102</v>
      </c>
      <c r="AD86" s="141">
        <f t="shared" si="31"/>
        <v>580737.73769753741</v>
      </c>
      <c r="AE86" s="141">
        <f t="shared" si="31"/>
        <v>533189.76841192716</v>
      </c>
      <c r="AF86" s="141">
        <f t="shared" si="31"/>
        <v>489538.92831165879</v>
      </c>
      <c r="AG86" s="141">
        <f t="shared" si="31"/>
        <v>449465.30340583029</v>
      </c>
      <c r="AH86" s="141">
        <f t="shared" si="31"/>
        <v>412675.30109173513</v>
      </c>
      <c r="AI86" s="141">
        <f t="shared" si="31"/>
        <v>378899.47735426499</v>
      </c>
      <c r="AJ86" s="141">
        <f t="shared" si="31"/>
        <v>347890.54418587824</v>
      </c>
      <c r="AK86" s="141">
        <f t="shared" si="31"/>
        <v>319421.54217652703</v>
      </c>
      <c r="AL86" s="141">
        <f t="shared" si="31"/>
        <v>293284.16449199128</v>
      </c>
      <c r="AM86" s="141">
        <f t="shared" si="31"/>
        <v>269287.21961971116</v>
      </c>
      <c r="AN86" s="141">
        <f t="shared" si="31"/>
        <v>247255.22132282608</v>
      </c>
      <c r="AO86" s="141">
        <f t="shared" si="31"/>
        <v>227027.095214323</v>
      </c>
      <c r="AP86" s="141">
        <f>AP83*AP85</f>
        <v>588.02057080463806</v>
      </c>
    </row>
    <row r="87" spans="1:44" ht="14.25" x14ac:dyDescent="0.2">
      <c r="A87" s="140" t="s">
        <v>304</v>
      </c>
      <c r="B87" s="141">
        <f>SUM($B$86:B86)</f>
        <v>-12538596.121796403</v>
      </c>
      <c r="C87" s="141">
        <f>SUM($B$86:C86)</f>
        <v>-10776332.406445336</v>
      </c>
      <c r="D87" s="141">
        <f>SUM($B$86:D86)</f>
        <v>-7417700.0377547964</v>
      </c>
      <c r="E87" s="141">
        <f>SUM($B$86:E86)</f>
        <v>-2670321.3372273091</v>
      </c>
      <c r="F87" s="141">
        <f>SUM($B$86:F86)</f>
        <v>1858468.0330404183</v>
      </c>
      <c r="G87" s="141">
        <f>SUM($B$86:G86)</f>
        <v>6014962.6530081164</v>
      </c>
      <c r="H87" s="141">
        <f>SUM($B$86:H86)</f>
        <v>9829856.9648965839</v>
      </c>
      <c r="I87" s="141">
        <f>SUM($B$86:I86)</f>
        <v>13331304.035819668</v>
      </c>
      <c r="J87" s="141">
        <f>SUM($B$86:J86)</f>
        <v>16545127.254249215</v>
      </c>
      <c r="K87" s="141">
        <f>SUM($B$86:K86)</f>
        <v>19495014.239790298</v>
      </c>
      <c r="L87" s="141">
        <f>SUM($B$86:L86)</f>
        <v>22202694.478718147</v>
      </c>
      <c r="M87" s="141">
        <f>SUM($B$86:M86)</f>
        <v>24688102.067008071</v>
      </c>
      <c r="N87" s="141">
        <f>SUM($B$86:N86)</f>
        <v>26969524.823412303</v>
      </c>
      <c r="O87" s="141">
        <f>SUM($B$86:O86)</f>
        <v>29063740.926455803</v>
      </c>
      <c r="P87" s="141">
        <f>SUM($B$86:P86)</f>
        <v>30986144.130087905</v>
      </c>
      <c r="Q87" s="141">
        <f>SUM($B$86:Q86)</f>
        <v>32750858.522277549</v>
      </c>
      <c r="R87" s="141">
        <f>SUM($B$86:R86)</f>
        <v>34370843.70829647</v>
      </c>
      <c r="S87" s="141">
        <f>SUM($B$86:S86)</f>
        <v>35857991.225088865</v>
      </c>
      <c r="T87" s="141">
        <f>SUM($B$86:T86)</f>
        <v>37223212.924335077</v>
      </c>
      <c r="U87" s="141">
        <f>SUM($B$86:U86)</f>
        <v>38476521.998996891</v>
      </c>
      <c r="V87" s="141">
        <f>SUM($B$86:V86)</f>
        <v>39627107.270753071</v>
      </c>
      <c r="W87" s="141">
        <f>SUM($B$86:W86)</f>
        <v>40683401.303314067</v>
      </c>
      <c r="X87" s="141">
        <f>SUM($B$86:X86)</f>
        <v>41653142.858706437</v>
      </c>
      <c r="Y87" s="141">
        <f>SUM($B$86:Y86)</f>
        <v>42543434.169842057</v>
      </c>
      <c r="Z87" s="141">
        <f>SUM($B$86:Z86)</f>
        <v>43360793.462673113</v>
      </c>
      <c r="AA87" s="141">
        <f>SUM($B$86:AA86)</f>
        <v>44111203.124650694</v>
      </c>
      <c r="AB87" s="141">
        <f>SUM($B$86:AB86)</f>
        <v>44800153.882753588</v>
      </c>
      <c r="AC87" s="141">
        <f>SUM($B$86:AC86)</f>
        <v>45432685.32376083</v>
      </c>
      <c r="AD87" s="141">
        <f>SUM($B$86:AD86)</f>
        <v>46013423.061458364</v>
      </c>
      <c r="AE87" s="141">
        <f>SUM($B$86:AE86)</f>
        <v>46546612.829870291</v>
      </c>
      <c r="AF87" s="141">
        <f>SUM($B$86:AF86)</f>
        <v>47036151.758181952</v>
      </c>
      <c r="AG87" s="141">
        <f>SUM($B$86:AG86)</f>
        <v>47485617.061587781</v>
      </c>
      <c r="AH87" s="141">
        <f>SUM($B$86:AH86)</f>
        <v>47898292.362679519</v>
      </c>
      <c r="AI87" s="141">
        <f>SUM($B$86:AI86)</f>
        <v>48277191.840033785</v>
      </c>
      <c r="AJ87" s="141">
        <f>SUM($B$86:AJ86)</f>
        <v>48625082.384219661</v>
      </c>
      <c r="AK87" s="141">
        <f>SUM($B$86:AK86)</f>
        <v>48944503.926396191</v>
      </c>
      <c r="AL87" s="141">
        <f>SUM($B$86:AL86)</f>
        <v>49237788.09088818</v>
      </c>
      <c r="AM87" s="141">
        <f>SUM($B$86:AM86)</f>
        <v>49507075.310507894</v>
      </c>
      <c r="AN87" s="141">
        <f>SUM($B$86:AN86)</f>
        <v>49754330.531830721</v>
      </c>
      <c r="AO87" s="141">
        <f>SUM($B$86:AO86)</f>
        <v>49981357.627045043</v>
      </c>
      <c r="AP87" s="141">
        <f>SUM($B$86:AP86)</f>
        <v>49981945.64761585</v>
      </c>
    </row>
    <row r="88" spans="1:44" ht="14.25" x14ac:dyDescent="0.2">
      <c r="A88" s="140" t="s">
        <v>305</v>
      </c>
      <c r="B88" s="151">
        <f>IF((ISERR(IRR($B$83:B83))),0,IF(IRR($B$83:B83)&lt;0,0,IRR($B$83:B83)))</f>
        <v>0</v>
      </c>
      <c r="C88" s="151">
        <f>IF((ISERR(IRR($B$83:C83))),0,IF(IRR($B$83:C83)&lt;0,0,IRR($B$83:C83)))</f>
        <v>0</v>
      </c>
      <c r="D88" s="151">
        <f>IF((ISERR(IRR($B$83:D83))),0,IF(IRR($B$83:D83)&lt;0,0,IRR($B$83:D83)))</f>
        <v>0</v>
      </c>
      <c r="E88" s="151">
        <f>IF((ISERR(IRR($B$83:E83))),0,IF(IRR($B$83:E83)&lt;0,0,IRR($B$83:E83)))</f>
        <v>2.6086399284618311E-2</v>
      </c>
      <c r="F88" s="151">
        <f>IF((ISERR(IRR($B$83:F83))),0,IF(IRR($B$83:F83)&lt;0,0,IRR($B$83:F83)))</f>
        <v>0.19439702286048854</v>
      </c>
      <c r="G88" s="151">
        <f>IF((ISERR(IRR($B$83:G83))),0,IF(IRR($B$83:G83)&lt;0,0,IRR($B$83:G83)))</f>
        <v>0.28410136314788459</v>
      </c>
      <c r="H88" s="151">
        <f>IF((ISERR(IRR($B$83:H83))),0,IF(IRR($B$83:H83)&lt;0,0,IRR($B$83:H83)))</f>
        <v>0.33614589190501643</v>
      </c>
      <c r="I88" s="151">
        <f>IF((ISERR(IRR($B$83:I83))),0,IF(IRR($B$83:I83)&lt;0,0,IRR($B$83:I83)))</f>
        <v>0.36807399777431038</v>
      </c>
      <c r="J88" s="151">
        <f>IF((ISERR(IRR($B$83:J83))),0,IF(IRR($B$83:J83)&lt;0,0,IRR($B$83:J83)))</f>
        <v>0.38845929709105653</v>
      </c>
      <c r="K88" s="151">
        <f>IF((ISERR(IRR($B$83:K83))),0,IF(IRR($B$83:K83)&lt;0,0,IRR($B$83:K83)))</f>
        <v>0.40186699840352125</v>
      </c>
      <c r="L88" s="151">
        <f>IF((ISERR(IRR($B$83:L83))),0,IF(IRR($B$83:L83)&lt;0,0,IRR($B$83:L83)))</f>
        <v>0.41088667112420074</v>
      </c>
      <c r="M88" s="151">
        <f>IF((ISERR(IRR($B$83:M83))),0,IF(IRR($B$83:M83)&lt;0,0,IRR($B$83:M83)))</f>
        <v>0.41706090928434159</v>
      </c>
      <c r="N88" s="151">
        <f>IF((ISERR(IRR($B$83:N83))),0,IF(IRR($B$83:N83)&lt;0,0,IRR($B$83:N83)))</f>
        <v>0.42134500339761338</v>
      </c>
      <c r="O88" s="151">
        <f>IF((ISERR(IRR($B$83:O83))),0,IF(IRR($B$83:O83)&lt;0,0,IRR($B$83:O83)))</f>
        <v>0.42434930897980716</v>
      </c>
      <c r="P88" s="151">
        <f>IF((ISERR(IRR($B$83:P83))),0,IF(IRR($B$83:P83)&lt;0,0,IRR($B$83:P83)))</f>
        <v>0.42647380050841899</v>
      </c>
      <c r="Q88" s="151">
        <f>IF((ISERR(IRR($B$83:Q83))),0,IF(IRR($B$83:Q83)&lt;0,0,IRR($B$83:Q83)))</f>
        <v>0.42798605186139738</v>
      </c>
      <c r="R88" s="151">
        <f>IF((ISERR(IRR($B$83:R83))),0,IF(IRR($B$83:R83)&lt;0,0,IRR($B$83:R83)))</f>
        <v>0.42906810252668137</v>
      </c>
      <c r="S88" s="151">
        <f>IF((ISERR(IRR($B$83:S83))),0,IF(IRR($B$83:S83)&lt;0,0,IRR($B$83:S83)))</f>
        <v>0.42984551119028103</v>
      </c>
      <c r="T88" s="151">
        <f>IF((ISERR(IRR($B$83:T83))),0,IF(IRR($B$83:T83)&lt;0,0,IRR($B$83:T83)))</f>
        <v>0.43040585188050628</v>
      </c>
      <c r="U88" s="151">
        <f>IF((ISERR(IRR($B$83:U83))),0,IF(IRR($B$83:U83)&lt;0,0,IRR($B$83:U83)))</f>
        <v>0.43081076059402412</v>
      </c>
      <c r="V88" s="151">
        <f>IF((ISERR(IRR($B$83:V83))),0,IF(IRR($B$83:V83)&lt;0,0,IRR($B$83:V83)))</f>
        <v>0.43110393601864194</v>
      </c>
      <c r="W88" s="151">
        <f>IF((ISERR(IRR($B$83:W83))),0,IF(IRR($B$83:W83)&lt;0,0,IRR($B$83:W83)))</f>
        <v>0.43131654235886119</v>
      </c>
      <c r="X88" s="151">
        <f>IF((ISERR(IRR($B$83:X83))),0,IF(IRR($B$83:X83)&lt;0,0,IRR($B$83:X83)))</f>
        <v>0.43147090961210388</v>
      </c>
      <c r="Y88" s="151">
        <f>IF((ISERR(IRR($B$83:Y83))),0,IF(IRR($B$83:Y83)&lt;0,0,IRR($B$83:Y83)))</f>
        <v>0.43158309800479588</v>
      </c>
      <c r="Z88" s="151">
        <f>IF((ISERR(IRR($B$83:Z83))),0,IF(IRR($B$83:Z83)&lt;0,0,IRR($B$83:Z83)))</f>
        <v>0.4316646928782506</v>
      </c>
      <c r="AA88" s="151">
        <f>IF((ISERR(IRR($B$83:AA83))),0,IF(IRR($B$83:AA83)&lt;0,0,IRR($B$83:AA83)))</f>
        <v>0.43172407124270396</v>
      </c>
      <c r="AB88" s="151">
        <f>IF((ISERR(IRR($B$83:AB83))),0,IF(IRR($B$83:AB83)&lt;0,0,IRR($B$83:AB83)))</f>
        <v>0.43176730150659104</v>
      </c>
      <c r="AC88" s="151">
        <f>IF((ISERR(IRR($B$83:AC83))),0,IF(IRR($B$83:AC83)&lt;0,0,IRR($B$83:AC83)))</f>
        <v>0.43179878610071354</v>
      </c>
      <c r="AD88" s="151">
        <f>IF((ISERR(IRR($B$83:AD83))),0,IF(IRR($B$83:AD83)&lt;0,0,IRR($B$83:AD83)))</f>
        <v>0.43182172248001893</v>
      </c>
      <c r="AE88" s="151">
        <f>IF((ISERR(IRR($B$83:AE83))),0,IF(IRR($B$83:AE83)&lt;0,0,IRR($B$83:AE83)))</f>
        <v>0.43183843499478303</v>
      </c>
      <c r="AF88" s="151">
        <f>IF((ISERR(IRR($B$83:AF83))),0,IF(IRR($B$83:AF83)&lt;0,0,IRR($B$83:AF83)))</f>
        <v>0.43185061446847661</v>
      </c>
      <c r="AG88" s="151">
        <f>IF((ISERR(IRR($B$83:AG83))),0,IF(IRR($B$83:AG83)&lt;0,0,IRR($B$83:AG83)))</f>
        <v>0.43185949153069991</v>
      </c>
      <c r="AH88" s="151">
        <f>IF((ISERR(IRR($B$83:AH83))),0,IF(IRR($B$83:AH83)&lt;0,0,IRR($B$83:AH83)))</f>
        <v>0.43186596224006957</v>
      </c>
      <c r="AI88" s="151">
        <f>IF((ISERR(IRR($B$83:AI83))),0,IF(IRR($B$83:AI83)&lt;0,0,IRR($B$83:AI83)))</f>
        <v>0.43187067925309131</v>
      </c>
      <c r="AJ88" s="151">
        <f>IF((ISERR(IRR($B$83:AJ83))),0,IF(IRR($B$83:AJ83)&lt;0,0,IRR($B$83:AJ83)))</f>
        <v>0.43187411805876685</v>
      </c>
      <c r="AK88" s="151">
        <f>IF((ISERR(IRR($B$83:AK83))),0,IF(IRR($B$83:AK83)&lt;0,0,IRR($B$83:AK83)))</f>
        <v>0.43187662513805214</v>
      </c>
      <c r="AL88" s="151">
        <f>IF((ISERR(IRR($B$83:AL83))),0,IF(IRR($B$83:AL83)&lt;0,0,IRR($B$83:AL83)))</f>
        <v>0.43187845300321159</v>
      </c>
      <c r="AM88" s="151">
        <f>IF((ISERR(IRR($B$83:AM83))),0,IF(IRR($B$83:AM83)&lt;0,0,IRR($B$83:AM83)))</f>
        <v>0.4318797857040042</v>
      </c>
      <c r="AN88" s="151">
        <f>IF((ISERR(IRR($B$83:AN83))),0,IF(IRR($B$83:AN83)&lt;0,0,IRR($B$83:AN83)))</f>
        <v>0.43188075740151266</v>
      </c>
      <c r="AO88" s="151">
        <f>IF((ISERR(IRR($B$83:AO83))),0,IF(IRR($B$83:AO83)&lt;0,0,IRR($B$83:AO83)))</f>
        <v>0.43188146589775012</v>
      </c>
      <c r="AP88" s="151">
        <f>IF((ISERR(IRR($B$83:AP83))),0,IF(IRR($B$83:AP83)&lt;0,0,IRR($B$83:AP83)))</f>
        <v>0.43188146735500799</v>
      </c>
    </row>
    <row r="89" spans="1:44" ht="14.25" x14ac:dyDescent="0.2">
      <c r="A89" s="140" t="s">
        <v>306</v>
      </c>
      <c r="B89" s="152">
        <f>IF(AND(B84&gt;0,A84&lt;0),(B74-(B84/(B84-A84))),0)</f>
        <v>0</v>
      </c>
      <c r="C89" s="152">
        <f t="shared" ref="C89:AP89" si="32">IF(AND(C84&gt;0,B84&lt;0),(C74-(C84/(C84-B84))),0)</f>
        <v>0</v>
      </c>
      <c r="D89" s="152">
        <f t="shared" si="32"/>
        <v>0</v>
      </c>
      <c r="E89" s="152">
        <f t="shared" si="32"/>
        <v>3.887121179032154</v>
      </c>
      <c r="F89" s="152">
        <f t="shared" si="32"/>
        <v>0</v>
      </c>
      <c r="G89" s="152">
        <f t="shared" si="32"/>
        <v>0</v>
      </c>
      <c r="H89" s="152">
        <f>IF(AND(H84&gt;0,G84&lt;0),(H74-(H84/(H84-G84))),0)</f>
        <v>0</v>
      </c>
      <c r="I89" s="152">
        <f t="shared" si="32"/>
        <v>0</v>
      </c>
      <c r="J89" s="152">
        <f t="shared" si="32"/>
        <v>0</v>
      </c>
      <c r="K89" s="152">
        <f t="shared" si="32"/>
        <v>0</v>
      </c>
      <c r="L89" s="152">
        <f t="shared" si="32"/>
        <v>0</v>
      </c>
      <c r="M89" s="152">
        <f t="shared" si="32"/>
        <v>0</v>
      </c>
      <c r="N89" s="152">
        <f t="shared" si="32"/>
        <v>0</v>
      </c>
      <c r="O89" s="152">
        <f t="shared" si="32"/>
        <v>0</v>
      </c>
      <c r="P89" s="152">
        <f t="shared" si="32"/>
        <v>0</v>
      </c>
      <c r="Q89" s="152">
        <f t="shared" si="32"/>
        <v>0</v>
      </c>
      <c r="R89" s="152">
        <f t="shared" si="32"/>
        <v>0</v>
      </c>
      <c r="S89" s="152">
        <f t="shared" si="32"/>
        <v>0</v>
      </c>
      <c r="T89" s="152">
        <f t="shared" si="32"/>
        <v>0</v>
      </c>
      <c r="U89" s="152">
        <f t="shared" si="32"/>
        <v>0</v>
      </c>
      <c r="V89" s="152">
        <f t="shared" si="32"/>
        <v>0</v>
      </c>
      <c r="W89" s="152">
        <f t="shared" si="32"/>
        <v>0</v>
      </c>
      <c r="X89" s="152">
        <f t="shared" si="32"/>
        <v>0</v>
      </c>
      <c r="Y89" s="152">
        <f t="shared" si="32"/>
        <v>0</v>
      </c>
      <c r="Z89" s="152">
        <f t="shared" si="32"/>
        <v>0</v>
      </c>
      <c r="AA89" s="152">
        <f t="shared" si="32"/>
        <v>0</v>
      </c>
      <c r="AB89" s="152">
        <f t="shared" si="32"/>
        <v>0</v>
      </c>
      <c r="AC89" s="152">
        <f t="shared" si="32"/>
        <v>0</v>
      </c>
      <c r="AD89" s="152">
        <f t="shared" si="32"/>
        <v>0</v>
      </c>
      <c r="AE89" s="152">
        <f t="shared" si="32"/>
        <v>0</v>
      </c>
      <c r="AF89" s="152">
        <f t="shared" si="32"/>
        <v>0</v>
      </c>
      <c r="AG89" s="152">
        <f t="shared" si="32"/>
        <v>0</v>
      </c>
      <c r="AH89" s="152">
        <f t="shared" si="32"/>
        <v>0</v>
      </c>
      <c r="AI89" s="152">
        <f t="shared" si="32"/>
        <v>0</v>
      </c>
      <c r="AJ89" s="152">
        <f t="shared" si="32"/>
        <v>0</v>
      </c>
      <c r="AK89" s="152">
        <f t="shared" si="32"/>
        <v>0</v>
      </c>
      <c r="AL89" s="152">
        <f t="shared" si="32"/>
        <v>0</v>
      </c>
      <c r="AM89" s="152">
        <f t="shared" si="32"/>
        <v>0</v>
      </c>
      <c r="AN89" s="152">
        <f t="shared" si="32"/>
        <v>0</v>
      </c>
      <c r="AO89" s="152">
        <f t="shared" si="32"/>
        <v>0</v>
      </c>
      <c r="AP89" s="152">
        <f t="shared" si="32"/>
        <v>0</v>
      </c>
    </row>
    <row r="90" spans="1:44" ht="14.25" x14ac:dyDescent="0.2">
      <c r="A90" s="153" t="s">
        <v>307</v>
      </c>
      <c r="B90" s="154">
        <f t="shared" ref="B90:AP90" si="33">IF(AND(B87&gt;0,A87&lt;0),(B74-(B87/(B87-A87))),0)</f>
        <v>0</v>
      </c>
      <c r="C90" s="154">
        <f t="shared" si="33"/>
        <v>0</v>
      </c>
      <c r="D90" s="154">
        <f t="shared" si="33"/>
        <v>0</v>
      </c>
      <c r="E90" s="154">
        <f t="shared" si="33"/>
        <v>0</v>
      </c>
      <c r="F90" s="154">
        <f t="shared" si="33"/>
        <v>4.5896324865003493</v>
      </c>
      <c r="G90" s="154">
        <f t="shared" si="33"/>
        <v>0</v>
      </c>
      <c r="H90" s="154">
        <f t="shared" si="33"/>
        <v>0</v>
      </c>
      <c r="I90" s="154">
        <f t="shared" si="33"/>
        <v>0</v>
      </c>
      <c r="J90" s="154">
        <f t="shared" si="33"/>
        <v>0</v>
      </c>
      <c r="K90" s="154">
        <f t="shared" si="33"/>
        <v>0</v>
      </c>
      <c r="L90" s="154">
        <f t="shared" si="33"/>
        <v>0</v>
      </c>
      <c r="M90" s="154">
        <f t="shared" si="33"/>
        <v>0</v>
      </c>
      <c r="N90" s="154">
        <f t="shared" si="33"/>
        <v>0</v>
      </c>
      <c r="O90" s="154">
        <f t="shared" si="33"/>
        <v>0</v>
      </c>
      <c r="P90" s="154">
        <f t="shared" si="33"/>
        <v>0</v>
      </c>
      <c r="Q90" s="154">
        <f t="shared" si="33"/>
        <v>0</v>
      </c>
      <c r="R90" s="154">
        <f t="shared" si="33"/>
        <v>0</v>
      </c>
      <c r="S90" s="154">
        <f t="shared" si="33"/>
        <v>0</v>
      </c>
      <c r="T90" s="154">
        <f t="shared" si="33"/>
        <v>0</v>
      </c>
      <c r="U90" s="154">
        <f t="shared" si="33"/>
        <v>0</v>
      </c>
      <c r="V90" s="154">
        <f t="shared" si="33"/>
        <v>0</v>
      </c>
      <c r="W90" s="154">
        <f t="shared" si="33"/>
        <v>0</v>
      </c>
      <c r="X90" s="154">
        <f t="shared" si="33"/>
        <v>0</v>
      </c>
      <c r="Y90" s="154">
        <f t="shared" si="33"/>
        <v>0</v>
      </c>
      <c r="Z90" s="154">
        <f t="shared" si="33"/>
        <v>0</v>
      </c>
      <c r="AA90" s="154">
        <f t="shared" si="33"/>
        <v>0</v>
      </c>
      <c r="AB90" s="154">
        <f t="shared" si="33"/>
        <v>0</v>
      </c>
      <c r="AC90" s="154">
        <f t="shared" si="33"/>
        <v>0</v>
      </c>
      <c r="AD90" s="154">
        <f t="shared" si="33"/>
        <v>0</v>
      </c>
      <c r="AE90" s="154">
        <f t="shared" si="33"/>
        <v>0</v>
      </c>
      <c r="AF90" s="154">
        <f t="shared" si="33"/>
        <v>0</v>
      </c>
      <c r="AG90" s="154">
        <f t="shared" si="33"/>
        <v>0</v>
      </c>
      <c r="AH90" s="154">
        <f t="shared" si="33"/>
        <v>0</v>
      </c>
      <c r="AI90" s="154">
        <f t="shared" si="33"/>
        <v>0</v>
      </c>
      <c r="AJ90" s="154">
        <f t="shared" si="33"/>
        <v>0</v>
      </c>
      <c r="AK90" s="154">
        <f t="shared" si="33"/>
        <v>0</v>
      </c>
      <c r="AL90" s="154">
        <f t="shared" si="33"/>
        <v>0</v>
      </c>
      <c r="AM90" s="154">
        <f t="shared" si="33"/>
        <v>0</v>
      </c>
      <c r="AN90" s="154">
        <f t="shared" si="33"/>
        <v>0</v>
      </c>
      <c r="AO90" s="154">
        <f t="shared" si="33"/>
        <v>0</v>
      </c>
      <c r="AP90" s="154">
        <f t="shared" si="33"/>
        <v>0</v>
      </c>
    </row>
    <row r="91" spans="1:44" x14ac:dyDescent="0.2">
      <c r="B91" s="155">
        <v>2025</v>
      </c>
      <c r="C91" s="155">
        <f>B91+1</f>
        <v>2026</v>
      </c>
      <c r="D91" s="90">
        <f t="shared" ref="D91:AP91" si="34">C91+1</f>
        <v>2027</v>
      </c>
      <c r="E91" s="90">
        <f t="shared" si="34"/>
        <v>2028</v>
      </c>
      <c r="F91" s="90">
        <f t="shared" si="34"/>
        <v>2029</v>
      </c>
      <c r="G91" s="90">
        <f t="shared" si="34"/>
        <v>2030</v>
      </c>
      <c r="H91" s="90">
        <f t="shared" si="34"/>
        <v>2031</v>
      </c>
      <c r="I91" s="90">
        <f t="shared" si="34"/>
        <v>2032</v>
      </c>
      <c r="J91" s="90">
        <f t="shared" si="34"/>
        <v>2033</v>
      </c>
      <c r="K91" s="90">
        <f t="shared" si="34"/>
        <v>2034</v>
      </c>
      <c r="L91" s="90">
        <f t="shared" si="34"/>
        <v>2035</v>
      </c>
      <c r="M91" s="90">
        <f t="shared" si="34"/>
        <v>2036</v>
      </c>
      <c r="N91" s="90">
        <f t="shared" si="34"/>
        <v>2037</v>
      </c>
      <c r="O91" s="90">
        <f t="shared" si="34"/>
        <v>2038</v>
      </c>
      <c r="P91" s="90">
        <f t="shared" si="34"/>
        <v>2039</v>
      </c>
      <c r="Q91" s="90">
        <f t="shared" si="34"/>
        <v>2040</v>
      </c>
      <c r="R91" s="90">
        <f t="shared" si="34"/>
        <v>2041</v>
      </c>
      <c r="S91" s="90">
        <f t="shared" si="34"/>
        <v>2042</v>
      </c>
      <c r="T91" s="90">
        <f t="shared" si="34"/>
        <v>2043</v>
      </c>
      <c r="U91" s="90">
        <f t="shared" si="34"/>
        <v>2044</v>
      </c>
      <c r="V91" s="90">
        <f t="shared" si="34"/>
        <v>2045</v>
      </c>
      <c r="W91" s="90">
        <f t="shared" si="34"/>
        <v>2046</v>
      </c>
      <c r="X91" s="90">
        <f t="shared" si="34"/>
        <v>2047</v>
      </c>
      <c r="Y91" s="90">
        <f t="shared" si="34"/>
        <v>2048</v>
      </c>
      <c r="Z91" s="90">
        <f t="shared" si="34"/>
        <v>2049</v>
      </c>
      <c r="AA91" s="90">
        <f t="shared" si="34"/>
        <v>2050</v>
      </c>
      <c r="AB91" s="90">
        <f t="shared" si="34"/>
        <v>2051</v>
      </c>
      <c r="AC91" s="90">
        <f t="shared" si="34"/>
        <v>2052</v>
      </c>
      <c r="AD91" s="90">
        <f t="shared" si="34"/>
        <v>2053</v>
      </c>
      <c r="AE91" s="90">
        <f t="shared" si="34"/>
        <v>2054</v>
      </c>
      <c r="AF91" s="90">
        <f t="shared" si="34"/>
        <v>2055</v>
      </c>
      <c r="AG91" s="90">
        <f t="shared" si="34"/>
        <v>2056</v>
      </c>
      <c r="AH91" s="90">
        <f t="shared" si="34"/>
        <v>2057</v>
      </c>
      <c r="AI91" s="90">
        <f t="shared" si="34"/>
        <v>2058</v>
      </c>
      <c r="AJ91" s="90">
        <f t="shared" si="34"/>
        <v>2059</v>
      </c>
      <c r="AK91" s="90">
        <f t="shared" si="34"/>
        <v>2060</v>
      </c>
      <c r="AL91" s="90">
        <f t="shared" si="34"/>
        <v>2061</v>
      </c>
      <c r="AM91" s="90">
        <f t="shared" si="34"/>
        <v>2062</v>
      </c>
      <c r="AN91" s="90">
        <f t="shared" si="34"/>
        <v>2063</v>
      </c>
      <c r="AO91" s="90">
        <f t="shared" si="34"/>
        <v>2064</v>
      </c>
      <c r="AP91" s="90">
        <f t="shared" si="34"/>
        <v>2065</v>
      </c>
    </row>
    <row r="92" spans="1:44" ht="15.6" customHeight="1" x14ac:dyDescent="0.2">
      <c r="A92" s="156" t="s">
        <v>308</v>
      </c>
      <c r="B92" s="157"/>
      <c r="C92" s="157"/>
      <c r="D92" s="157"/>
      <c r="E92" s="157"/>
      <c r="F92" s="157"/>
      <c r="G92" s="157"/>
      <c r="H92" s="157"/>
      <c r="I92" s="157"/>
      <c r="J92" s="157"/>
      <c r="K92" s="157"/>
      <c r="L92" s="158">
        <v>10</v>
      </c>
      <c r="M92" s="157">
        <v>10</v>
      </c>
      <c r="N92" s="157"/>
      <c r="O92" s="157"/>
      <c r="P92" s="157"/>
      <c r="Q92" s="157"/>
      <c r="R92" s="157"/>
      <c r="S92" s="157"/>
      <c r="T92" s="157"/>
      <c r="U92" s="157"/>
      <c r="V92" s="157"/>
      <c r="W92" s="157"/>
      <c r="X92" s="157"/>
      <c r="Y92" s="157"/>
      <c r="Z92" s="157"/>
      <c r="AA92" s="157">
        <v>25</v>
      </c>
      <c r="AB92" s="157"/>
      <c r="AC92" s="157"/>
      <c r="AD92" s="157"/>
      <c r="AE92" s="157"/>
      <c r="AF92" s="157">
        <v>30</v>
      </c>
      <c r="AG92" s="157"/>
      <c r="AH92" s="157"/>
      <c r="AI92" s="157"/>
      <c r="AJ92" s="157"/>
      <c r="AK92" s="157"/>
      <c r="AL92" s="157"/>
      <c r="AM92" s="157"/>
      <c r="AN92" s="157"/>
      <c r="AO92" s="157"/>
      <c r="AP92" s="157">
        <v>40</v>
      </c>
    </row>
    <row r="93" spans="1:44" ht="12.75" x14ac:dyDescent="0.2">
      <c r="A93" s="159" t="s">
        <v>309</v>
      </c>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9"/>
    </row>
    <row r="94" spans="1:44" ht="12.75" x14ac:dyDescent="0.2">
      <c r="A94" s="159" t="s">
        <v>310</v>
      </c>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row>
    <row r="95" spans="1:44" ht="12.75" x14ac:dyDescent="0.2">
      <c r="A95" s="159" t="s">
        <v>311</v>
      </c>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row>
    <row r="96" spans="1:44" ht="12.75" x14ac:dyDescent="0.2">
      <c r="A96" s="157" t="s">
        <v>312</v>
      </c>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row>
    <row r="97" spans="1:71" ht="33" customHeight="1" x14ac:dyDescent="0.2">
      <c r="A97" s="390" t="s">
        <v>313</v>
      </c>
      <c r="B97" s="390"/>
      <c r="C97" s="390"/>
      <c r="D97" s="390"/>
      <c r="E97" s="390"/>
      <c r="F97" s="390"/>
      <c r="G97" s="390"/>
      <c r="H97" s="390"/>
      <c r="I97" s="390"/>
      <c r="J97" s="390"/>
      <c r="K97" s="390"/>
      <c r="L97" s="390"/>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c r="AK97" s="144"/>
      <c r="AL97" s="144"/>
      <c r="AM97" s="144"/>
      <c r="AN97" s="144"/>
      <c r="AO97" s="144"/>
      <c r="AP97" s="144"/>
    </row>
    <row r="98" spans="1:71" hidden="1" x14ac:dyDescent="0.2">
      <c r="C98" s="160"/>
    </row>
    <row r="99" spans="1:71" s="161" customFormat="1" hidden="1" x14ac:dyDescent="0.2">
      <c r="A99" s="162" t="s">
        <v>314</v>
      </c>
      <c r="B99" s="163">
        <f>B81*B85</f>
        <v>-12538596.121796403</v>
      </c>
      <c r="C99" s="164">
        <f>C81*C85</f>
        <v>0</v>
      </c>
      <c r="D99" s="164">
        <f t="shared" ref="D99:AP99" si="35">D81*D85</f>
        <v>0</v>
      </c>
      <c r="E99" s="164">
        <f t="shared" si="35"/>
        <v>0</v>
      </c>
      <c r="F99" s="164">
        <f t="shared" si="35"/>
        <v>0</v>
      </c>
      <c r="G99" s="164">
        <f t="shared" si="35"/>
        <v>0</v>
      </c>
      <c r="H99" s="164">
        <f t="shared" si="35"/>
        <v>0</v>
      </c>
      <c r="I99" s="164">
        <f t="shared" si="35"/>
        <v>0</v>
      </c>
      <c r="J99" s="164">
        <f>J81*J85</f>
        <v>0</v>
      </c>
      <c r="K99" s="164">
        <f t="shared" si="35"/>
        <v>0</v>
      </c>
      <c r="L99" s="164">
        <f>L81*L85</f>
        <v>0</v>
      </c>
      <c r="M99" s="164">
        <f t="shared" si="35"/>
        <v>0</v>
      </c>
      <c r="N99" s="164">
        <f t="shared" si="35"/>
        <v>0</v>
      </c>
      <c r="O99" s="164">
        <f t="shared" si="35"/>
        <v>0</v>
      </c>
      <c r="P99" s="164">
        <f t="shared" si="35"/>
        <v>0</v>
      </c>
      <c r="Q99" s="164">
        <f t="shared" si="35"/>
        <v>0</v>
      </c>
      <c r="R99" s="164">
        <f t="shared" si="35"/>
        <v>0</v>
      </c>
      <c r="S99" s="164">
        <f t="shared" si="35"/>
        <v>0</v>
      </c>
      <c r="T99" s="164">
        <f t="shared" si="35"/>
        <v>0</v>
      </c>
      <c r="U99" s="164">
        <f t="shared" si="35"/>
        <v>0</v>
      </c>
      <c r="V99" s="164">
        <f t="shared" si="35"/>
        <v>0</v>
      </c>
      <c r="W99" s="164">
        <f t="shared" si="35"/>
        <v>0</v>
      </c>
      <c r="X99" s="164">
        <f t="shared" si="35"/>
        <v>0</v>
      </c>
      <c r="Y99" s="164">
        <f t="shared" si="35"/>
        <v>0</v>
      </c>
      <c r="Z99" s="164">
        <f t="shared" si="35"/>
        <v>0</v>
      </c>
      <c r="AA99" s="164">
        <f t="shared" si="35"/>
        <v>0</v>
      </c>
      <c r="AB99" s="164">
        <f t="shared" si="35"/>
        <v>0</v>
      </c>
      <c r="AC99" s="164">
        <f t="shared" si="35"/>
        <v>0</v>
      </c>
      <c r="AD99" s="164">
        <f t="shared" si="35"/>
        <v>0</v>
      </c>
      <c r="AE99" s="164">
        <f t="shared" si="35"/>
        <v>0</v>
      </c>
      <c r="AF99" s="164">
        <f t="shared" si="35"/>
        <v>0</v>
      </c>
      <c r="AG99" s="164">
        <f t="shared" si="35"/>
        <v>0</v>
      </c>
      <c r="AH99" s="164">
        <f t="shared" si="35"/>
        <v>0</v>
      </c>
      <c r="AI99" s="164">
        <f t="shared" si="35"/>
        <v>0</v>
      </c>
      <c r="AJ99" s="164">
        <f t="shared" si="35"/>
        <v>0</v>
      </c>
      <c r="AK99" s="164">
        <f t="shared" si="35"/>
        <v>0</v>
      </c>
      <c r="AL99" s="164">
        <f t="shared" si="35"/>
        <v>0</v>
      </c>
      <c r="AM99" s="164">
        <f t="shared" si="35"/>
        <v>0</v>
      </c>
      <c r="AN99" s="164">
        <f t="shared" si="35"/>
        <v>0</v>
      </c>
      <c r="AO99" s="164">
        <f t="shared" si="35"/>
        <v>0</v>
      </c>
      <c r="AP99" s="164">
        <f t="shared" si="35"/>
        <v>0</v>
      </c>
      <c r="AQ99" s="165">
        <f>SUM(B99:AP99)</f>
        <v>-12538596.121796403</v>
      </c>
      <c r="AR99" s="166"/>
      <c r="AS99" s="166"/>
    </row>
    <row r="100" spans="1:71" s="167" customFormat="1" hidden="1" x14ac:dyDescent="0.2">
      <c r="A100" s="168">
        <f>AQ99</f>
        <v>-12538596.121796403</v>
      </c>
      <c r="B100" s="169"/>
      <c r="C100" s="124"/>
      <c r="D100" s="124"/>
      <c r="E100" s="124"/>
      <c r="F100" s="124"/>
      <c r="G100" s="124"/>
      <c r="H100" s="124"/>
      <c r="I100" s="124"/>
      <c r="J100" s="124"/>
      <c r="K100" s="124"/>
      <c r="L100" s="124"/>
      <c r="M100" s="124"/>
      <c r="N100" s="124"/>
      <c r="O100" s="124"/>
      <c r="P100" s="124"/>
      <c r="Q100" s="124"/>
      <c r="R100" s="124"/>
      <c r="S100" s="124"/>
      <c r="T100" s="124"/>
      <c r="U100" s="124"/>
      <c r="V100" s="124"/>
      <c r="W100" s="124"/>
      <c r="X100" s="124"/>
      <c r="Y100" s="124"/>
      <c r="Z100" s="124"/>
      <c r="AA100" s="124"/>
      <c r="AB100" s="124"/>
      <c r="AC100" s="124"/>
      <c r="AD100" s="124"/>
      <c r="AE100" s="124"/>
      <c r="AF100" s="124"/>
      <c r="AG100" s="124"/>
      <c r="AH100" s="124"/>
      <c r="AI100" s="124"/>
      <c r="AJ100" s="124"/>
      <c r="AK100" s="124"/>
      <c r="AL100" s="124"/>
      <c r="AM100" s="124"/>
      <c r="AN100" s="124"/>
      <c r="AO100" s="124"/>
      <c r="AP100" s="124"/>
      <c r="AQ100" s="91"/>
      <c r="AR100" s="91"/>
      <c r="AS100" s="91"/>
    </row>
    <row r="101" spans="1:71" s="167" customFormat="1" hidden="1" x14ac:dyDescent="0.2">
      <c r="A101" s="168">
        <f>AP87</f>
        <v>49981945.64761585</v>
      </c>
      <c r="B101" s="169"/>
      <c r="C101" s="124"/>
      <c r="D101" s="124"/>
      <c r="E101" s="124"/>
      <c r="F101" s="124"/>
      <c r="G101" s="124"/>
      <c r="H101" s="124"/>
      <c r="I101" s="124"/>
      <c r="J101" s="124"/>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4"/>
      <c r="AH101" s="124"/>
      <c r="AI101" s="124"/>
      <c r="AJ101" s="124"/>
      <c r="AK101" s="124"/>
      <c r="AL101" s="124"/>
      <c r="AM101" s="124"/>
      <c r="AN101" s="124"/>
      <c r="AO101" s="124"/>
      <c r="AP101" s="124"/>
      <c r="AQ101" s="91"/>
      <c r="AR101" s="91"/>
      <c r="AS101" s="91"/>
    </row>
    <row r="102" spans="1:71" s="167" customFormat="1" hidden="1" x14ac:dyDescent="0.2">
      <c r="A102" s="170" t="s">
        <v>315</v>
      </c>
      <c r="B102" s="171">
        <f>(A101+-A100)/-A100</f>
        <v>4.9862473567299928</v>
      </c>
      <c r="C102" s="124"/>
      <c r="D102" s="124"/>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4"/>
      <c r="AH102" s="124"/>
      <c r="AI102" s="124"/>
      <c r="AJ102" s="124"/>
      <c r="AK102" s="124"/>
      <c r="AL102" s="124"/>
      <c r="AM102" s="124"/>
      <c r="AN102" s="124"/>
      <c r="AO102" s="124"/>
      <c r="AP102" s="124"/>
      <c r="AQ102" s="91"/>
      <c r="AR102" s="91"/>
      <c r="AS102" s="91"/>
    </row>
    <row r="103" spans="1:71" s="167" customFormat="1" hidden="1" x14ac:dyDescent="0.2">
      <c r="A103" s="172"/>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24"/>
      <c r="AL103" s="124"/>
      <c r="AM103" s="124"/>
      <c r="AN103" s="124"/>
      <c r="AO103" s="124"/>
      <c r="AP103" s="124"/>
      <c r="AQ103" s="91"/>
      <c r="AR103" s="91"/>
      <c r="AS103" s="91"/>
    </row>
    <row r="104" spans="1:71" ht="12.75" hidden="1" x14ac:dyDescent="0.2">
      <c r="A104" s="173" t="s">
        <v>316</v>
      </c>
      <c r="B104" s="173" t="s">
        <v>317</v>
      </c>
      <c r="C104" s="173" t="s">
        <v>318</v>
      </c>
      <c r="D104" s="173" t="s">
        <v>319</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row>
    <row r="105" spans="1:71" ht="12.75" hidden="1" x14ac:dyDescent="0.2">
      <c r="A105" s="175">
        <f>G30/1000/1000</f>
        <v>24.688102067008067</v>
      </c>
      <c r="B105" s="176">
        <f>L88</f>
        <v>0.41088667112420074</v>
      </c>
      <c r="C105" s="177">
        <f>G28</f>
        <v>3.887121179032154</v>
      </c>
      <c r="D105" s="177">
        <f>G29</f>
        <v>4.5896324865003493</v>
      </c>
      <c r="E105" s="88" t="s">
        <v>320</v>
      </c>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row>
    <row r="106" spans="1:71" ht="12.75" hidden="1" x14ac:dyDescent="0.2">
      <c r="A106" s="178"/>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row>
    <row r="107" spans="1:71" ht="12.75" hidden="1" x14ac:dyDescent="0.2">
      <c r="A107" s="179"/>
      <c r="B107" s="180">
        <v>2024</v>
      </c>
      <c r="C107" s="181">
        <f t="shared" ref="C107:AP107" si="36">B107+1</f>
        <v>2025</v>
      </c>
      <c r="D107" s="181">
        <f t="shared" si="36"/>
        <v>2026</v>
      </c>
      <c r="E107" s="181">
        <f t="shared" si="36"/>
        <v>2027</v>
      </c>
      <c r="F107" s="181">
        <f t="shared" si="36"/>
        <v>2028</v>
      </c>
      <c r="G107" s="181">
        <f t="shared" si="36"/>
        <v>2029</v>
      </c>
      <c r="H107" s="181">
        <f t="shared" si="36"/>
        <v>2030</v>
      </c>
      <c r="I107" s="181">
        <f t="shared" si="36"/>
        <v>2031</v>
      </c>
      <c r="J107" s="181">
        <f t="shared" si="36"/>
        <v>2032</v>
      </c>
      <c r="K107" s="181">
        <f t="shared" si="36"/>
        <v>2033</v>
      </c>
      <c r="L107" s="181">
        <f t="shared" si="36"/>
        <v>2034</v>
      </c>
      <c r="M107" s="181">
        <f t="shared" si="36"/>
        <v>2035</v>
      </c>
      <c r="N107" s="181">
        <f t="shared" si="36"/>
        <v>2036</v>
      </c>
      <c r="O107" s="181">
        <f t="shared" si="36"/>
        <v>2037</v>
      </c>
      <c r="P107" s="181">
        <f t="shared" si="36"/>
        <v>2038</v>
      </c>
      <c r="Q107" s="181">
        <f t="shared" si="36"/>
        <v>2039</v>
      </c>
      <c r="R107" s="181">
        <f t="shared" si="36"/>
        <v>2040</v>
      </c>
      <c r="S107" s="181">
        <f t="shared" si="36"/>
        <v>2041</v>
      </c>
      <c r="T107" s="181">
        <f t="shared" si="36"/>
        <v>2042</v>
      </c>
      <c r="U107" s="181">
        <f t="shared" si="36"/>
        <v>2043</v>
      </c>
      <c r="V107" s="181">
        <f t="shared" si="36"/>
        <v>2044</v>
      </c>
      <c r="W107" s="181">
        <f t="shared" si="36"/>
        <v>2045</v>
      </c>
      <c r="X107" s="181">
        <f t="shared" si="36"/>
        <v>2046</v>
      </c>
      <c r="Y107" s="181">
        <f t="shared" si="36"/>
        <v>2047</v>
      </c>
      <c r="Z107" s="181">
        <f t="shared" si="36"/>
        <v>2048</v>
      </c>
      <c r="AA107" s="181">
        <f t="shared" si="36"/>
        <v>2049</v>
      </c>
      <c r="AB107" s="181">
        <f t="shared" si="36"/>
        <v>2050</v>
      </c>
      <c r="AC107" s="181">
        <f t="shared" si="36"/>
        <v>2051</v>
      </c>
      <c r="AD107" s="181">
        <f t="shared" si="36"/>
        <v>2052</v>
      </c>
      <c r="AE107" s="181">
        <f t="shared" si="36"/>
        <v>2053</v>
      </c>
      <c r="AF107" s="181">
        <f t="shared" si="36"/>
        <v>2054</v>
      </c>
      <c r="AG107" s="181">
        <f t="shared" si="36"/>
        <v>2055</v>
      </c>
      <c r="AH107" s="181">
        <f t="shared" si="36"/>
        <v>2056</v>
      </c>
      <c r="AI107" s="181">
        <f t="shared" si="36"/>
        <v>2057</v>
      </c>
      <c r="AJ107" s="181">
        <f t="shared" si="36"/>
        <v>2058</v>
      </c>
      <c r="AK107" s="181">
        <f t="shared" si="36"/>
        <v>2059</v>
      </c>
      <c r="AL107" s="181">
        <f t="shared" si="36"/>
        <v>2060</v>
      </c>
      <c r="AM107" s="181">
        <f t="shared" si="36"/>
        <v>2061</v>
      </c>
      <c r="AN107" s="181">
        <f t="shared" si="36"/>
        <v>2062</v>
      </c>
      <c r="AO107" s="181">
        <f t="shared" si="36"/>
        <v>2063</v>
      </c>
      <c r="AP107" s="181">
        <f t="shared" si="36"/>
        <v>2064</v>
      </c>
      <c r="AT107" s="167"/>
      <c r="AU107" s="167"/>
      <c r="AV107" s="167"/>
      <c r="AW107" s="167"/>
      <c r="AX107" s="167"/>
      <c r="AY107" s="167"/>
      <c r="AZ107" s="167"/>
      <c r="BA107" s="167"/>
      <c r="BB107" s="167"/>
      <c r="BC107" s="167"/>
      <c r="BD107" s="167"/>
      <c r="BE107" s="167"/>
      <c r="BF107" s="167"/>
      <c r="BG107" s="167"/>
    </row>
    <row r="108" spans="1:71" ht="12.75" hidden="1" x14ac:dyDescent="0.2">
      <c r="A108" s="182" t="s">
        <v>321</v>
      </c>
      <c r="B108" s="183"/>
      <c r="C108" s="183">
        <f>C111*$B$113*$B$114*1000</f>
        <v>0</v>
      </c>
      <c r="D108" s="183">
        <f>D111*$B$113*D114</f>
        <v>2234334.8912940002</v>
      </c>
      <c r="E108" s="183">
        <f t="shared" ref="E108:AP108" si="37">E111*$B$113*E114</f>
        <v>4771696.1797890002</v>
      </c>
      <c r="F108" s="183">
        <f t="shared" si="37"/>
        <v>7410337.4268000005</v>
      </c>
      <c r="G108" s="183">
        <f t="shared" si="37"/>
        <v>7706760.7815000005</v>
      </c>
      <c r="H108" s="183">
        <f t="shared" si="37"/>
        <v>7706760.7815000005</v>
      </c>
      <c r="I108" s="183">
        <f t="shared" si="37"/>
        <v>7706760.7815000005</v>
      </c>
      <c r="J108" s="183">
        <f t="shared" si="37"/>
        <v>7706760.7815000005</v>
      </c>
      <c r="K108" s="183">
        <f t="shared" si="37"/>
        <v>7706760.7815000005</v>
      </c>
      <c r="L108" s="183">
        <f t="shared" si="37"/>
        <v>7706760.7815000005</v>
      </c>
      <c r="M108" s="183">
        <f t="shared" si="37"/>
        <v>7706760.7815000005</v>
      </c>
      <c r="N108" s="183">
        <f t="shared" si="37"/>
        <v>7706760.7815000005</v>
      </c>
      <c r="O108" s="183">
        <f t="shared" si="37"/>
        <v>7706760.7815000005</v>
      </c>
      <c r="P108" s="183">
        <f t="shared" si="37"/>
        <v>7706760.7815000005</v>
      </c>
      <c r="Q108" s="183">
        <f t="shared" si="37"/>
        <v>7706760.7815000005</v>
      </c>
      <c r="R108" s="183">
        <f t="shared" si="37"/>
        <v>7706760.7815000005</v>
      </c>
      <c r="S108" s="183">
        <f t="shared" si="37"/>
        <v>7706760.7815000005</v>
      </c>
      <c r="T108" s="183">
        <f t="shared" si="37"/>
        <v>7706760.7815000005</v>
      </c>
      <c r="U108" s="183">
        <f t="shared" si="37"/>
        <v>7706760.7815000005</v>
      </c>
      <c r="V108" s="183">
        <f t="shared" si="37"/>
        <v>7706760.7815000005</v>
      </c>
      <c r="W108" s="183">
        <f t="shared" si="37"/>
        <v>7706760.7815000005</v>
      </c>
      <c r="X108" s="183">
        <f t="shared" si="37"/>
        <v>7706760.7815000005</v>
      </c>
      <c r="Y108" s="183">
        <f t="shared" si="37"/>
        <v>7706760.7815000005</v>
      </c>
      <c r="Z108" s="183">
        <f t="shared" si="37"/>
        <v>7706760.7815000005</v>
      </c>
      <c r="AA108" s="183">
        <f t="shared" si="37"/>
        <v>7706760.7815000005</v>
      </c>
      <c r="AB108" s="183">
        <f t="shared" si="37"/>
        <v>7706760.7815000005</v>
      </c>
      <c r="AC108" s="183">
        <f t="shared" si="37"/>
        <v>7706760.7815000005</v>
      </c>
      <c r="AD108" s="183">
        <f t="shared" si="37"/>
        <v>7706760.7815000005</v>
      </c>
      <c r="AE108" s="183">
        <f t="shared" si="37"/>
        <v>7706760.7815000005</v>
      </c>
      <c r="AF108" s="183">
        <f t="shared" si="37"/>
        <v>7706760.7815000005</v>
      </c>
      <c r="AG108" s="183">
        <f t="shared" si="37"/>
        <v>7706760.7815000005</v>
      </c>
      <c r="AH108" s="183">
        <f t="shared" si="37"/>
        <v>7706760.7815000005</v>
      </c>
      <c r="AI108" s="183">
        <f t="shared" si="37"/>
        <v>7706760.7815000005</v>
      </c>
      <c r="AJ108" s="183">
        <f t="shared" si="37"/>
        <v>7706760.7815000005</v>
      </c>
      <c r="AK108" s="183">
        <f t="shared" si="37"/>
        <v>7706760.7815000005</v>
      </c>
      <c r="AL108" s="183">
        <f t="shared" si="37"/>
        <v>7706760.7815000005</v>
      </c>
      <c r="AM108" s="183">
        <f t="shared" si="37"/>
        <v>7706760.7815000005</v>
      </c>
      <c r="AN108" s="183">
        <f t="shared" si="37"/>
        <v>7706760.7815000005</v>
      </c>
      <c r="AO108" s="183">
        <f t="shared" si="37"/>
        <v>7706760.7815000005</v>
      </c>
      <c r="AP108" s="183">
        <f t="shared" si="37"/>
        <v>7706760.7815000005</v>
      </c>
      <c r="AT108" s="167"/>
      <c r="AU108" s="167"/>
      <c r="AV108" s="167"/>
      <c r="AW108" s="167"/>
      <c r="AX108" s="167"/>
      <c r="AY108" s="167"/>
      <c r="AZ108" s="167"/>
      <c r="BA108" s="167"/>
      <c r="BB108" s="167"/>
      <c r="BC108" s="167"/>
      <c r="BD108" s="167"/>
      <c r="BE108" s="167"/>
      <c r="BF108" s="167"/>
      <c r="BG108" s="167"/>
    </row>
    <row r="109" spans="1:71" ht="25.5" hidden="1" x14ac:dyDescent="0.2">
      <c r="A109" s="182" t="s">
        <v>322</v>
      </c>
      <c r="B109" s="183"/>
      <c r="C109" s="183"/>
      <c r="D109" s="183">
        <f>D114*$D$120</f>
        <v>483.5424000000001</v>
      </c>
      <c r="E109" s="183"/>
      <c r="F109" s="183"/>
      <c r="G109" s="183"/>
      <c r="H109" s="183"/>
      <c r="I109" s="183"/>
      <c r="J109" s="183"/>
      <c r="K109" s="183"/>
      <c r="L109" s="183"/>
      <c r="M109" s="183"/>
      <c r="N109" s="183"/>
      <c r="O109" s="183"/>
      <c r="P109" s="183"/>
      <c r="Q109" s="183"/>
      <c r="R109" s="183"/>
      <c r="S109" s="183"/>
      <c r="T109" s="183"/>
      <c r="U109" s="183"/>
      <c r="V109" s="183"/>
      <c r="W109" s="183"/>
      <c r="X109" s="183"/>
      <c r="Y109" s="183"/>
      <c r="Z109" s="183"/>
      <c r="AA109" s="183"/>
      <c r="AB109" s="183"/>
      <c r="AC109" s="183"/>
      <c r="AD109" s="183"/>
      <c r="AE109" s="183"/>
      <c r="AF109" s="183"/>
      <c r="AG109" s="183"/>
      <c r="AH109" s="183"/>
      <c r="AI109" s="183"/>
      <c r="AJ109" s="183"/>
      <c r="AK109" s="183"/>
      <c r="AL109" s="183"/>
      <c r="AM109" s="183"/>
      <c r="AN109" s="183"/>
      <c r="AO109" s="183"/>
      <c r="AP109" s="183"/>
      <c r="AT109" s="167"/>
      <c r="AU109" s="167"/>
      <c r="AV109" s="167"/>
      <c r="AW109" s="167"/>
      <c r="AX109" s="167"/>
      <c r="AY109" s="167"/>
      <c r="AZ109" s="167"/>
      <c r="BA109" s="167"/>
      <c r="BB109" s="167"/>
      <c r="BC109" s="167"/>
      <c r="BD109" s="167"/>
      <c r="BE109" s="167"/>
      <c r="BF109" s="167"/>
      <c r="BG109" s="167"/>
    </row>
    <row r="110" spans="1:71" ht="25.5" hidden="1" x14ac:dyDescent="0.2">
      <c r="A110" s="182" t="s">
        <v>323</v>
      </c>
      <c r="B110" s="183"/>
      <c r="C110" s="183"/>
      <c r="D110" s="183">
        <f>0.000896355911999665*1000000</f>
        <v>896.35591199966495</v>
      </c>
      <c r="E110" s="183"/>
      <c r="F110" s="183"/>
      <c r="G110" s="183"/>
      <c r="H110" s="183"/>
      <c r="I110" s="183"/>
      <c r="J110" s="183"/>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183"/>
      <c r="AJ110" s="183"/>
      <c r="AK110" s="183"/>
      <c r="AL110" s="183"/>
      <c r="AM110" s="183"/>
      <c r="AN110" s="183"/>
      <c r="AO110" s="183"/>
      <c r="AP110" s="183"/>
      <c r="AT110" s="167"/>
      <c r="AU110" s="167"/>
      <c r="AV110" s="167"/>
      <c r="AW110" s="167"/>
      <c r="AX110" s="167"/>
      <c r="AY110" s="167"/>
      <c r="AZ110" s="167"/>
      <c r="BA110" s="167"/>
      <c r="BB110" s="167"/>
      <c r="BC110" s="167"/>
      <c r="BD110" s="167"/>
      <c r="BE110" s="167"/>
      <c r="BF110" s="167"/>
      <c r="BG110" s="167"/>
    </row>
    <row r="111" spans="1:71" ht="12.75" hidden="1" x14ac:dyDescent="0.2">
      <c r="A111" s="182" t="s">
        <v>324</v>
      </c>
      <c r="B111" s="181"/>
      <c r="C111" s="181">
        <f>B111+$I$123*C115</f>
        <v>0</v>
      </c>
      <c r="D111" s="181">
        <f>C111+$I$123*D115</f>
        <v>0.16879500000000003</v>
      </c>
      <c r="E111" s="181">
        <f t="shared" ref="E111:AP111" si="38">D111+$I$123*E115</f>
        <v>0.34270500000000004</v>
      </c>
      <c r="F111" s="181">
        <f t="shared" si="38"/>
        <v>0.51150000000000007</v>
      </c>
      <c r="G111" s="181">
        <f t="shared" si="38"/>
        <v>0.51150000000000007</v>
      </c>
      <c r="H111" s="181">
        <f t="shared" si="38"/>
        <v>0.51150000000000007</v>
      </c>
      <c r="I111" s="181">
        <f t="shared" si="38"/>
        <v>0.51150000000000007</v>
      </c>
      <c r="J111" s="181">
        <f t="shared" si="38"/>
        <v>0.51150000000000007</v>
      </c>
      <c r="K111" s="181">
        <f t="shared" si="38"/>
        <v>0.51150000000000007</v>
      </c>
      <c r="L111" s="181">
        <f t="shared" si="38"/>
        <v>0.51150000000000007</v>
      </c>
      <c r="M111" s="181">
        <f t="shared" si="38"/>
        <v>0.51150000000000007</v>
      </c>
      <c r="N111" s="181">
        <f t="shared" si="38"/>
        <v>0.51150000000000007</v>
      </c>
      <c r="O111" s="181">
        <f t="shared" si="38"/>
        <v>0.51150000000000007</v>
      </c>
      <c r="P111" s="181">
        <f t="shared" si="38"/>
        <v>0.51150000000000007</v>
      </c>
      <c r="Q111" s="181">
        <f t="shared" si="38"/>
        <v>0.51150000000000007</v>
      </c>
      <c r="R111" s="181">
        <f t="shared" si="38"/>
        <v>0.51150000000000007</v>
      </c>
      <c r="S111" s="181">
        <f t="shared" si="38"/>
        <v>0.51150000000000007</v>
      </c>
      <c r="T111" s="181">
        <f t="shared" si="38"/>
        <v>0.51150000000000007</v>
      </c>
      <c r="U111" s="181">
        <f t="shared" si="38"/>
        <v>0.51150000000000007</v>
      </c>
      <c r="V111" s="181">
        <f t="shared" si="38"/>
        <v>0.51150000000000007</v>
      </c>
      <c r="W111" s="181">
        <f t="shared" si="38"/>
        <v>0.51150000000000007</v>
      </c>
      <c r="X111" s="181">
        <f t="shared" si="38"/>
        <v>0.51150000000000007</v>
      </c>
      <c r="Y111" s="181">
        <f t="shared" si="38"/>
        <v>0.51150000000000007</v>
      </c>
      <c r="Z111" s="181">
        <f t="shared" si="38"/>
        <v>0.51150000000000007</v>
      </c>
      <c r="AA111" s="181">
        <f t="shared" si="38"/>
        <v>0.51150000000000007</v>
      </c>
      <c r="AB111" s="181">
        <f t="shared" si="38"/>
        <v>0.51150000000000007</v>
      </c>
      <c r="AC111" s="181">
        <f t="shared" si="38"/>
        <v>0.51150000000000007</v>
      </c>
      <c r="AD111" s="181">
        <f t="shared" si="38"/>
        <v>0.51150000000000007</v>
      </c>
      <c r="AE111" s="181">
        <f t="shared" si="38"/>
        <v>0.51150000000000007</v>
      </c>
      <c r="AF111" s="181">
        <f t="shared" si="38"/>
        <v>0.51150000000000007</v>
      </c>
      <c r="AG111" s="181">
        <f t="shared" si="38"/>
        <v>0.51150000000000007</v>
      </c>
      <c r="AH111" s="181">
        <f t="shared" si="38"/>
        <v>0.51150000000000007</v>
      </c>
      <c r="AI111" s="181">
        <f t="shared" si="38"/>
        <v>0.51150000000000007</v>
      </c>
      <c r="AJ111" s="181">
        <f t="shared" si="38"/>
        <v>0.51150000000000007</v>
      </c>
      <c r="AK111" s="181">
        <f t="shared" si="38"/>
        <v>0.51150000000000007</v>
      </c>
      <c r="AL111" s="181">
        <f t="shared" si="38"/>
        <v>0.51150000000000007</v>
      </c>
      <c r="AM111" s="181">
        <f t="shared" si="38"/>
        <v>0.51150000000000007</v>
      </c>
      <c r="AN111" s="181">
        <f t="shared" si="38"/>
        <v>0.51150000000000007</v>
      </c>
      <c r="AO111" s="181">
        <f t="shared" si="38"/>
        <v>0.51150000000000007</v>
      </c>
      <c r="AP111" s="181">
        <f t="shared" si="38"/>
        <v>0.51150000000000007</v>
      </c>
      <c r="AT111" s="167"/>
      <c r="AU111" s="167"/>
      <c r="AV111" s="167"/>
      <c r="AW111" s="167"/>
      <c r="AX111" s="167"/>
      <c r="AY111" s="167"/>
      <c r="AZ111" s="167"/>
      <c r="BA111" s="167"/>
      <c r="BB111" s="167"/>
      <c r="BC111" s="167"/>
      <c r="BD111" s="167"/>
      <c r="BE111" s="167"/>
      <c r="BF111" s="167"/>
      <c r="BG111" s="167"/>
    </row>
    <row r="112" spans="1:71" ht="12.75" hidden="1" x14ac:dyDescent="0.2">
      <c r="A112" s="182" t="s">
        <v>325</v>
      </c>
      <c r="B112" s="184">
        <v>0.93</v>
      </c>
      <c r="C112" s="181"/>
      <c r="D112" s="181"/>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c r="AA112" s="181"/>
      <c r="AB112" s="181"/>
      <c r="AC112" s="181"/>
      <c r="AD112" s="181"/>
      <c r="AE112" s="181"/>
      <c r="AF112" s="181"/>
      <c r="AG112" s="181"/>
      <c r="AH112" s="181"/>
      <c r="AI112" s="181"/>
      <c r="AJ112" s="181"/>
      <c r="AK112" s="181"/>
      <c r="AL112" s="181"/>
      <c r="AM112" s="181"/>
      <c r="AN112" s="181"/>
      <c r="AO112" s="181"/>
      <c r="AP112" s="181"/>
      <c r="AT112" s="167"/>
      <c r="AU112" s="167"/>
      <c r="AV112" s="167"/>
      <c r="AW112" s="167"/>
      <c r="AX112" s="167"/>
      <c r="AY112" s="167"/>
      <c r="AZ112" s="167"/>
      <c r="BA112" s="167"/>
      <c r="BB112" s="167"/>
      <c r="BC112" s="167"/>
      <c r="BD112" s="167"/>
      <c r="BE112" s="167"/>
      <c r="BF112" s="167"/>
      <c r="BG112" s="167"/>
    </row>
    <row r="113" spans="1:71" ht="12.75" hidden="1" x14ac:dyDescent="0.2">
      <c r="A113" s="182" t="s">
        <v>326</v>
      </c>
      <c r="B113" s="184">
        <v>4380</v>
      </c>
      <c r="C113" s="181"/>
      <c r="D113" s="181"/>
      <c r="E113" s="181"/>
      <c r="F113" s="181"/>
      <c r="G113" s="181"/>
      <c r="H113" s="181"/>
      <c r="I113" s="181"/>
      <c r="J113" s="181"/>
      <c r="K113" s="181"/>
      <c r="L113" s="181"/>
      <c r="M113" s="181"/>
      <c r="N113" s="181"/>
      <c r="O113" s="181"/>
      <c r="P113" s="181"/>
      <c r="Q113" s="181"/>
      <c r="R113" s="181"/>
      <c r="S113" s="181"/>
      <c r="T113" s="181"/>
      <c r="U113" s="181"/>
      <c r="V113" s="181"/>
      <c r="W113" s="181"/>
      <c r="X113" s="181"/>
      <c r="Y113" s="181"/>
      <c r="Z113" s="181"/>
      <c r="AA113" s="181"/>
      <c r="AB113" s="181"/>
      <c r="AC113" s="181"/>
      <c r="AD113" s="181"/>
      <c r="AE113" s="181"/>
      <c r="AF113" s="181"/>
      <c r="AG113" s="181"/>
      <c r="AH113" s="181"/>
      <c r="AI113" s="181"/>
      <c r="AJ113" s="181"/>
      <c r="AK113" s="181"/>
      <c r="AL113" s="181"/>
      <c r="AM113" s="181"/>
      <c r="AN113" s="181"/>
      <c r="AO113" s="181"/>
      <c r="AP113" s="181"/>
      <c r="AT113" s="167"/>
      <c r="AU113" s="167"/>
      <c r="AV113" s="167"/>
      <c r="AW113" s="167"/>
      <c r="AX113" s="167"/>
      <c r="AY113" s="167"/>
      <c r="AZ113" s="167"/>
      <c r="BA113" s="167"/>
      <c r="BB113" s="167"/>
      <c r="BC113" s="167"/>
      <c r="BD113" s="167"/>
      <c r="BE113" s="167"/>
      <c r="BF113" s="167"/>
      <c r="BG113" s="167"/>
    </row>
    <row r="114" spans="1:71" ht="12.75" hidden="1" x14ac:dyDescent="0.2">
      <c r="A114" s="185" t="s">
        <v>327</v>
      </c>
      <c r="B114" s="451">
        <v>2449.0500000000002</v>
      </c>
      <c r="C114" s="451">
        <v>2750.9</v>
      </c>
      <c r="D114" s="451">
        <v>3022.14</v>
      </c>
      <c r="E114" s="451">
        <v>3178.91</v>
      </c>
      <c r="F114" s="451">
        <v>3307.64</v>
      </c>
      <c r="G114" s="451">
        <v>3439.95</v>
      </c>
      <c r="H114" s="452">
        <v>3439.95</v>
      </c>
      <c r="I114" s="452">
        <v>3439.95</v>
      </c>
      <c r="J114" s="186">
        <f>I114</f>
        <v>3439.95</v>
      </c>
      <c r="K114" s="186">
        <f t="shared" ref="K114:AS114" si="39">J114</f>
        <v>3439.95</v>
      </c>
      <c r="L114" s="186">
        <f t="shared" si="39"/>
        <v>3439.95</v>
      </c>
      <c r="M114" s="186">
        <f t="shared" si="39"/>
        <v>3439.95</v>
      </c>
      <c r="N114" s="186">
        <f t="shared" si="39"/>
        <v>3439.95</v>
      </c>
      <c r="O114" s="186">
        <f t="shared" si="39"/>
        <v>3439.95</v>
      </c>
      <c r="P114" s="186">
        <f t="shared" si="39"/>
        <v>3439.95</v>
      </c>
      <c r="Q114" s="186">
        <f t="shared" si="39"/>
        <v>3439.95</v>
      </c>
      <c r="R114" s="186">
        <f t="shared" si="39"/>
        <v>3439.95</v>
      </c>
      <c r="S114" s="186">
        <f t="shared" si="39"/>
        <v>3439.95</v>
      </c>
      <c r="T114" s="186">
        <f t="shared" si="39"/>
        <v>3439.95</v>
      </c>
      <c r="U114" s="186">
        <f t="shared" si="39"/>
        <v>3439.95</v>
      </c>
      <c r="V114" s="186">
        <f t="shared" si="39"/>
        <v>3439.95</v>
      </c>
      <c r="W114" s="186">
        <f t="shared" si="39"/>
        <v>3439.95</v>
      </c>
      <c r="X114" s="186">
        <f t="shared" si="39"/>
        <v>3439.95</v>
      </c>
      <c r="Y114" s="186">
        <f t="shared" si="39"/>
        <v>3439.95</v>
      </c>
      <c r="Z114" s="186">
        <f t="shared" si="39"/>
        <v>3439.95</v>
      </c>
      <c r="AA114" s="186">
        <f t="shared" si="39"/>
        <v>3439.95</v>
      </c>
      <c r="AB114" s="186">
        <f t="shared" si="39"/>
        <v>3439.95</v>
      </c>
      <c r="AC114" s="186">
        <f t="shared" si="39"/>
        <v>3439.95</v>
      </c>
      <c r="AD114" s="186">
        <f t="shared" si="39"/>
        <v>3439.95</v>
      </c>
      <c r="AE114" s="186">
        <f t="shared" si="39"/>
        <v>3439.95</v>
      </c>
      <c r="AF114" s="186">
        <f t="shared" si="39"/>
        <v>3439.95</v>
      </c>
      <c r="AG114" s="186">
        <f t="shared" si="39"/>
        <v>3439.95</v>
      </c>
      <c r="AH114" s="186">
        <f t="shared" si="39"/>
        <v>3439.95</v>
      </c>
      <c r="AI114" s="186">
        <f t="shared" si="39"/>
        <v>3439.95</v>
      </c>
      <c r="AJ114" s="186">
        <f t="shared" si="39"/>
        <v>3439.95</v>
      </c>
      <c r="AK114" s="186">
        <f t="shared" si="39"/>
        <v>3439.95</v>
      </c>
      <c r="AL114" s="186">
        <f t="shared" si="39"/>
        <v>3439.95</v>
      </c>
      <c r="AM114" s="186">
        <f t="shared" si="39"/>
        <v>3439.95</v>
      </c>
      <c r="AN114" s="186">
        <f t="shared" si="39"/>
        <v>3439.95</v>
      </c>
      <c r="AO114" s="186">
        <f t="shared" si="39"/>
        <v>3439.95</v>
      </c>
      <c r="AP114" s="186">
        <f t="shared" si="39"/>
        <v>3439.95</v>
      </c>
      <c r="AQ114" s="186">
        <f t="shared" si="39"/>
        <v>3439.95</v>
      </c>
      <c r="AR114" s="186">
        <f t="shared" si="39"/>
        <v>3439.95</v>
      </c>
      <c r="AT114" s="167"/>
      <c r="AU114" s="167"/>
      <c r="AV114" s="167"/>
      <c r="AW114" s="167"/>
      <c r="AX114" s="167"/>
      <c r="AY114" s="167"/>
      <c r="AZ114" s="167"/>
      <c r="BA114" s="167"/>
      <c r="BB114" s="167"/>
      <c r="BC114" s="167"/>
      <c r="BD114" s="167"/>
      <c r="BE114" s="167"/>
      <c r="BF114" s="167"/>
      <c r="BG114" s="167"/>
    </row>
    <row r="115" spans="1:71" ht="15" hidden="1" x14ac:dyDescent="0.2">
      <c r="A115" s="187" t="s">
        <v>328</v>
      </c>
      <c r="B115" s="188">
        <v>0</v>
      </c>
      <c r="C115" s="189">
        <v>0</v>
      </c>
      <c r="D115" s="189">
        <v>0.33</v>
      </c>
      <c r="E115" s="189">
        <v>0.34</v>
      </c>
      <c r="F115" s="189">
        <v>0.33</v>
      </c>
      <c r="G115" s="188">
        <v>0</v>
      </c>
      <c r="H115" s="188">
        <v>0</v>
      </c>
      <c r="I115" s="188">
        <v>0</v>
      </c>
      <c r="J115" s="188">
        <v>0</v>
      </c>
      <c r="K115" s="188">
        <v>0</v>
      </c>
      <c r="L115" s="188">
        <v>0</v>
      </c>
      <c r="M115" s="188">
        <v>0</v>
      </c>
      <c r="N115" s="188">
        <v>0</v>
      </c>
      <c r="O115" s="188">
        <v>0</v>
      </c>
      <c r="P115" s="188">
        <v>0</v>
      </c>
      <c r="Q115" s="188">
        <v>0</v>
      </c>
      <c r="R115" s="188">
        <v>0</v>
      </c>
      <c r="S115" s="188">
        <v>0</v>
      </c>
      <c r="T115" s="188">
        <v>0</v>
      </c>
      <c r="U115" s="188">
        <v>0</v>
      </c>
      <c r="V115" s="188">
        <v>0</v>
      </c>
      <c r="W115" s="188">
        <v>0</v>
      </c>
      <c r="X115" s="188">
        <v>0</v>
      </c>
      <c r="Y115" s="188">
        <v>0</v>
      </c>
      <c r="Z115" s="188">
        <v>0</v>
      </c>
      <c r="AA115" s="188">
        <v>0</v>
      </c>
      <c r="AB115" s="188">
        <v>0</v>
      </c>
      <c r="AC115" s="188">
        <v>0</v>
      </c>
      <c r="AD115" s="188">
        <v>0</v>
      </c>
      <c r="AE115" s="188">
        <v>0</v>
      </c>
      <c r="AF115" s="188">
        <v>0</v>
      </c>
      <c r="AG115" s="188">
        <v>0</v>
      </c>
      <c r="AH115" s="188">
        <v>0</v>
      </c>
      <c r="AI115" s="188">
        <v>0</v>
      </c>
      <c r="AJ115" s="188">
        <v>0</v>
      </c>
      <c r="AK115" s="188">
        <v>0</v>
      </c>
      <c r="AL115" s="188">
        <v>0</v>
      </c>
      <c r="AM115" s="188">
        <v>0</v>
      </c>
      <c r="AN115" s="188">
        <v>0</v>
      </c>
      <c r="AO115" s="188">
        <v>0</v>
      </c>
      <c r="AP115" s="188">
        <v>0</v>
      </c>
      <c r="AT115" s="167"/>
      <c r="AU115" s="167"/>
      <c r="AV115" s="167"/>
      <c r="AW115" s="167"/>
      <c r="AX115" s="167"/>
      <c r="AY115" s="167"/>
      <c r="AZ115" s="167"/>
      <c r="BA115" s="167"/>
      <c r="BB115" s="167"/>
      <c r="BC115" s="167"/>
      <c r="BD115" s="167"/>
      <c r="BE115" s="167"/>
      <c r="BF115" s="167"/>
      <c r="BG115" s="167"/>
    </row>
    <row r="116" spans="1:71" ht="12.75" hidden="1" x14ac:dyDescent="0.2">
      <c r="A116" s="178"/>
      <c r="B116" s="174"/>
      <c r="C116" s="174"/>
      <c r="D116" s="174"/>
      <c r="E116" s="174"/>
      <c r="F116" s="174"/>
      <c r="G116" s="174"/>
      <c r="H116" s="174"/>
      <c r="I116" s="174"/>
      <c r="J116" s="174"/>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row>
    <row r="117" spans="1:71" ht="12.75" hidden="1" x14ac:dyDescent="0.2">
      <c r="A117" s="178"/>
      <c r="B117" s="174"/>
      <c r="C117" s="174"/>
      <c r="D117" s="174"/>
      <c r="E117" s="174"/>
      <c r="F117" s="174"/>
      <c r="G117" s="174"/>
      <c r="H117" s="174"/>
      <c r="I117" s="174"/>
      <c r="J117" s="174"/>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row>
    <row r="118" spans="1:71" ht="12.75" hidden="1" x14ac:dyDescent="0.2">
      <c r="A118" s="179"/>
      <c r="B118" s="391" t="s">
        <v>329</v>
      </c>
      <c r="C118" s="392"/>
      <c r="D118" s="391" t="s">
        <v>330</v>
      </c>
      <c r="E118" s="392"/>
      <c r="F118" s="179"/>
      <c r="G118" s="179"/>
      <c r="H118" s="179"/>
      <c r="I118" s="179"/>
      <c r="J118" s="179"/>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row>
    <row r="119" spans="1:71" ht="12.75" hidden="1" x14ac:dyDescent="0.2">
      <c r="A119" s="182" t="s">
        <v>331</v>
      </c>
      <c r="B119" s="190">
        <v>0.1</v>
      </c>
      <c r="C119" s="179" t="s">
        <v>332</v>
      </c>
      <c r="D119" s="191">
        <v>0.65</v>
      </c>
      <c r="E119" s="179" t="s">
        <v>332</v>
      </c>
      <c r="F119" s="179"/>
      <c r="G119" s="179"/>
      <c r="H119" s="179"/>
      <c r="I119" s="179"/>
      <c r="J119" s="179"/>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row>
    <row r="120" spans="1:71" ht="12.75" hidden="1" x14ac:dyDescent="0.2">
      <c r="A120" s="182" t="s">
        <v>333</v>
      </c>
      <c r="B120" s="190"/>
      <c r="C120" s="179"/>
      <c r="D120" s="191">
        <v>0.16000000000000003</v>
      </c>
      <c r="E120" s="179" t="s">
        <v>334</v>
      </c>
      <c r="F120" s="179"/>
      <c r="G120" s="179"/>
      <c r="H120" s="179"/>
      <c r="I120" s="179"/>
      <c r="J120" s="179"/>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row>
    <row r="121" spans="1:71" ht="25.5" hidden="1" x14ac:dyDescent="0.2">
      <c r="A121" s="182" t="s">
        <v>331</v>
      </c>
      <c r="B121" s="179">
        <f>$B$112*B119</f>
        <v>9.3000000000000013E-2</v>
      </c>
      <c r="C121" s="179" t="s">
        <v>335</v>
      </c>
      <c r="D121" s="179">
        <f>$B$112*D119</f>
        <v>0.60450000000000004</v>
      </c>
      <c r="E121" s="179" t="s">
        <v>335</v>
      </c>
      <c r="F121" s="182" t="s">
        <v>336</v>
      </c>
      <c r="G121" s="179">
        <f>D119-B119</f>
        <v>0.55000000000000004</v>
      </c>
      <c r="H121" s="179" t="s">
        <v>332</v>
      </c>
      <c r="I121" s="179">
        <f>$B$112*G121</f>
        <v>0.51150000000000007</v>
      </c>
      <c r="J121" s="179" t="s">
        <v>335</v>
      </c>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row>
    <row r="122" spans="1:71" ht="25.5" hidden="1" x14ac:dyDescent="0.2">
      <c r="A122" s="179"/>
      <c r="B122" s="179"/>
      <c r="C122" s="179"/>
      <c r="D122" s="179"/>
      <c r="E122" s="179"/>
      <c r="F122" s="182" t="s">
        <v>337</v>
      </c>
      <c r="G122" s="179">
        <f>I122/$B$112</f>
        <v>0</v>
      </c>
      <c r="H122" s="179" t="s">
        <v>332</v>
      </c>
      <c r="I122" s="190"/>
      <c r="J122" s="179" t="s">
        <v>335</v>
      </c>
      <c r="K122" s="174"/>
      <c r="L122" s="174"/>
      <c r="M122" s="174"/>
      <c r="N122" s="174"/>
      <c r="O122" s="174"/>
      <c r="P122" s="174"/>
      <c r="Q122" s="174"/>
      <c r="R122" s="174"/>
      <c r="S122" s="174"/>
      <c r="T122" s="174"/>
      <c r="U122" s="174"/>
      <c r="V122" s="174"/>
      <c r="W122" s="174"/>
      <c r="X122" s="174"/>
      <c r="Y122" s="174"/>
      <c r="Z122" s="174"/>
      <c r="AA122" s="174"/>
      <c r="AB122" s="174"/>
      <c r="AC122" s="174"/>
      <c r="AD122" s="174"/>
      <c r="AE122" s="174"/>
      <c r="AF122" s="174"/>
      <c r="AG122" s="174"/>
      <c r="AH122" s="174"/>
      <c r="AI122" s="174"/>
      <c r="AJ122" s="174"/>
      <c r="AK122" s="174"/>
      <c r="AL122" s="174"/>
      <c r="AM122" s="174"/>
      <c r="AN122" s="174"/>
      <c r="AO122" s="174"/>
      <c r="AP122" s="174"/>
      <c r="AT122" s="174"/>
      <c r="AU122" s="174"/>
      <c r="AV122" s="174"/>
      <c r="AW122" s="174"/>
      <c r="AX122" s="174"/>
      <c r="AY122" s="174"/>
      <c r="AZ122" s="174"/>
      <c r="BA122" s="174"/>
      <c r="BB122" s="174"/>
      <c r="BC122" s="174"/>
      <c r="BD122" s="174"/>
      <c r="BE122" s="174"/>
      <c r="BF122" s="174"/>
      <c r="BG122" s="174"/>
      <c r="BH122" s="174"/>
      <c r="BI122" s="174"/>
      <c r="BJ122" s="174"/>
      <c r="BK122" s="174"/>
      <c r="BL122" s="174"/>
      <c r="BM122" s="174"/>
      <c r="BN122" s="174"/>
      <c r="BO122" s="174"/>
      <c r="BP122" s="174"/>
      <c r="BQ122" s="174"/>
      <c r="BR122" s="174"/>
      <c r="BS122" s="174"/>
    </row>
    <row r="123" spans="1:71" ht="38.25" hidden="1" x14ac:dyDescent="0.2">
      <c r="A123" s="192"/>
      <c r="B123" s="193"/>
      <c r="C123" s="193"/>
      <c r="D123" s="193"/>
      <c r="E123" s="193"/>
      <c r="F123" s="194" t="s">
        <v>338</v>
      </c>
      <c r="G123" s="179">
        <f>G121</f>
        <v>0.55000000000000004</v>
      </c>
      <c r="H123" s="179" t="s">
        <v>332</v>
      </c>
      <c r="I123" s="184">
        <f>I121</f>
        <v>0.51150000000000007</v>
      </c>
      <c r="J123" s="179" t="s">
        <v>335</v>
      </c>
      <c r="K123" s="174"/>
      <c r="L123" s="174"/>
      <c r="M123" s="174"/>
      <c r="N123" s="174"/>
      <c r="O123" s="174"/>
      <c r="P123" s="174"/>
      <c r="Q123" s="174"/>
      <c r="R123" s="174"/>
      <c r="S123" s="174"/>
      <c r="T123" s="174"/>
      <c r="U123" s="174"/>
      <c r="V123" s="174"/>
      <c r="W123" s="174"/>
      <c r="X123" s="174"/>
      <c r="Y123" s="174"/>
      <c r="Z123" s="174"/>
      <c r="AA123" s="174"/>
      <c r="AB123" s="174"/>
      <c r="AC123" s="174"/>
      <c r="AD123" s="174"/>
      <c r="AE123" s="174"/>
      <c r="AF123" s="174"/>
      <c r="AG123" s="174"/>
      <c r="AH123" s="174"/>
      <c r="AI123" s="174"/>
      <c r="AJ123" s="174"/>
      <c r="AK123" s="174"/>
      <c r="AL123" s="174"/>
      <c r="AM123" s="174"/>
      <c r="AN123" s="174"/>
      <c r="AO123" s="174"/>
      <c r="AP123" s="174"/>
      <c r="AT123" s="174"/>
      <c r="AU123" s="174"/>
      <c r="AV123" s="174"/>
      <c r="AW123" s="174"/>
      <c r="AX123" s="174"/>
      <c r="AY123" s="174"/>
      <c r="AZ123" s="174"/>
      <c r="BA123" s="174"/>
      <c r="BB123" s="174"/>
      <c r="BC123" s="174"/>
      <c r="BD123" s="174"/>
      <c r="BE123" s="174"/>
      <c r="BF123" s="174"/>
      <c r="BG123" s="174"/>
      <c r="BH123" s="174"/>
      <c r="BI123" s="174"/>
      <c r="BJ123" s="174"/>
      <c r="BK123" s="174"/>
      <c r="BL123" s="174"/>
      <c r="BM123" s="174"/>
      <c r="BN123" s="174"/>
      <c r="BO123" s="174"/>
      <c r="BP123" s="174"/>
      <c r="BQ123" s="174"/>
      <c r="BR123" s="174"/>
      <c r="BS123" s="174"/>
    </row>
    <row r="124" spans="1:71" ht="12.75" hidden="1" x14ac:dyDescent="0.2">
      <c r="A124" s="195"/>
      <c r="B124" s="88"/>
      <c r="C124" s="174"/>
      <c r="D124" s="174"/>
      <c r="E124" s="174"/>
      <c r="F124" s="174"/>
      <c r="G124" s="174"/>
      <c r="H124" s="174"/>
      <c r="I124" s="174"/>
      <c r="J124" s="174"/>
      <c r="K124" s="174"/>
      <c r="L124" s="174"/>
      <c r="M124" s="174"/>
      <c r="N124" s="174"/>
      <c r="O124" s="174"/>
      <c r="P124" s="174"/>
      <c r="Q124" s="174"/>
      <c r="R124" s="174"/>
      <c r="S124" s="174"/>
      <c r="T124" s="174"/>
      <c r="U124" s="174"/>
      <c r="V124" s="174"/>
      <c r="W124" s="174"/>
      <c r="X124" s="174"/>
      <c r="Y124" s="174"/>
      <c r="Z124" s="174"/>
      <c r="AA124" s="174"/>
      <c r="AB124" s="174"/>
      <c r="AC124" s="174"/>
      <c r="AD124" s="174"/>
      <c r="AE124" s="174"/>
      <c r="AF124" s="174"/>
      <c r="AG124" s="174"/>
      <c r="AH124" s="174"/>
      <c r="AI124" s="174"/>
      <c r="AJ124" s="174"/>
      <c r="AK124" s="174"/>
      <c r="AL124" s="174"/>
      <c r="AM124" s="174"/>
      <c r="AN124" s="174"/>
      <c r="AO124" s="174"/>
      <c r="AP124" s="174"/>
      <c r="AT124" s="174"/>
      <c r="AU124" s="174"/>
      <c r="AV124" s="174"/>
      <c r="AW124" s="174"/>
      <c r="AX124" s="174"/>
      <c r="AY124" s="174"/>
      <c r="AZ124" s="174"/>
      <c r="BA124" s="174"/>
      <c r="BB124" s="174"/>
      <c r="BC124" s="174"/>
      <c r="BD124" s="174"/>
      <c r="BE124" s="174"/>
      <c r="BF124" s="174"/>
      <c r="BG124" s="174"/>
      <c r="BH124" s="174"/>
      <c r="BI124" s="174"/>
      <c r="BJ124" s="174"/>
      <c r="BK124" s="174"/>
      <c r="BL124" s="174"/>
      <c r="BM124" s="174"/>
      <c r="BN124" s="174"/>
      <c r="BO124" s="174"/>
      <c r="BP124" s="174"/>
      <c r="BQ124" s="174"/>
      <c r="BR124" s="174"/>
      <c r="BS124" s="174"/>
    </row>
    <row r="125" spans="1:71" ht="12.75" hidden="1" x14ac:dyDescent="0.2">
      <c r="A125" s="196" t="s">
        <v>339</v>
      </c>
      <c r="B125" s="197">
        <f>'6.2. Паспорт фин осв ввод'!D24</f>
        <v>0</v>
      </c>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row>
    <row r="126" spans="1:71" ht="12.75" hidden="1" x14ac:dyDescent="0.2">
      <c r="A126" s="196" t="s">
        <v>253</v>
      </c>
      <c r="B126" s="198">
        <v>25</v>
      </c>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row>
    <row r="127" spans="1:71" ht="12.75" hidden="1" x14ac:dyDescent="0.2">
      <c r="A127" s="196" t="s">
        <v>340</v>
      </c>
      <c r="B127" s="198"/>
      <c r="C127" s="199" t="s">
        <v>341</v>
      </c>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row>
    <row r="128" spans="1:71" ht="12.75" hidden="1" x14ac:dyDescent="0.2">
      <c r="A128" s="200"/>
      <c r="B128" s="201"/>
      <c r="C128" s="199"/>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row>
    <row r="129" spans="1:51" ht="12.75" hidden="1" x14ac:dyDescent="0.2">
      <c r="A129" s="196" t="s">
        <v>342</v>
      </c>
      <c r="B129" s="202">
        <f>$B$125*1000*1000</f>
        <v>0</v>
      </c>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row>
    <row r="130" spans="1:51" ht="12.75" hidden="1" x14ac:dyDescent="0.2">
      <c r="A130" s="196" t="s">
        <v>343</v>
      </c>
      <c r="B130" s="203">
        <v>0.01</v>
      </c>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row>
    <row r="131" spans="1:51" ht="12.75" hidden="1" x14ac:dyDescent="0.2">
      <c r="A131" s="195"/>
      <c r="B131" s="204"/>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row>
    <row r="132" spans="1:51" ht="12.75" hidden="1" x14ac:dyDescent="0.2">
      <c r="A132" s="196" t="s">
        <v>344</v>
      </c>
      <c r="B132" s="205">
        <v>0.1371</v>
      </c>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row>
    <row r="133" spans="1:51" hidden="1" x14ac:dyDescent="0.2">
      <c r="A133" s="206"/>
      <c r="B133" s="207"/>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row>
    <row r="134" spans="1:51" ht="15" hidden="1" x14ac:dyDescent="0.2">
      <c r="A134" s="208"/>
      <c r="B134" s="209">
        <v>2024</v>
      </c>
      <c r="C134" s="210">
        <v>2025</v>
      </c>
      <c r="D134" s="210">
        <v>2026</v>
      </c>
      <c r="E134" s="210">
        <v>2027</v>
      </c>
      <c r="F134" s="210">
        <v>2028</v>
      </c>
      <c r="G134" s="210">
        <v>2029</v>
      </c>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row>
    <row r="135" spans="1:51" ht="12.75" hidden="1" x14ac:dyDescent="0.2">
      <c r="A135" s="185" t="s">
        <v>327</v>
      </c>
      <c r="B135" s="451">
        <v>2449.0500000000002</v>
      </c>
      <c r="C135" s="451">
        <v>2750.9</v>
      </c>
      <c r="D135" s="451">
        <v>3022.14</v>
      </c>
      <c r="E135" s="451">
        <v>3178.91</v>
      </c>
      <c r="F135" s="451">
        <v>3307.64</v>
      </c>
      <c r="G135" s="451">
        <v>3439.95</v>
      </c>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row>
    <row r="136" spans="1:51" ht="12.75" hidden="1" x14ac:dyDescent="0.2">
      <c r="A136" s="195"/>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row>
    <row r="137" spans="1:51" hidden="1" x14ac:dyDescent="0.2">
      <c r="A137" s="196" t="s">
        <v>345</v>
      </c>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row>
    <row r="138" spans="1:51" ht="12.75" hidden="1" x14ac:dyDescent="0.2">
      <c r="A138" s="196"/>
      <c r="B138" s="211">
        <v>2024</v>
      </c>
      <c r="C138" s="211">
        <f>B138+1</f>
        <v>2025</v>
      </c>
      <c r="D138" s="211">
        <f t="shared" ref="D138:AY138" si="40">C138+1</f>
        <v>2026</v>
      </c>
      <c r="E138" s="211">
        <f t="shared" si="40"/>
        <v>2027</v>
      </c>
      <c r="F138" s="211">
        <f t="shared" si="40"/>
        <v>2028</v>
      </c>
      <c r="G138" s="211">
        <f t="shared" si="40"/>
        <v>2029</v>
      </c>
      <c r="H138" s="211">
        <f t="shared" si="40"/>
        <v>2030</v>
      </c>
      <c r="I138" s="211">
        <f t="shared" si="40"/>
        <v>2031</v>
      </c>
      <c r="J138" s="211">
        <f t="shared" si="40"/>
        <v>2032</v>
      </c>
      <c r="K138" s="211">
        <f t="shared" si="40"/>
        <v>2033</v>
      </c>
      <c r="L138" s="211">
        <f t="shared" si="40"/>
        <v>2034</v>
      </c>
      <c r="M138" s="211">
        <f t="shared" si="40"/>
        <v>2035</v>
      </c>
      <c r="N138" s="211">
        <f t="shared" si="40"/>
        <v>2036</v>
      </c>
      <c r="O138" s="211">
        <f t="shared" si="40"/>
        <v>2037</v>
      </c>
      <c r="P138" s="211">
        <f t="shared" si="40"/>
        <v>2038</v>
      </c>
      <c r="Q138" s="211">
        <f t="shared" si="40"/>
        <v>2039</v>
      </c>
      <c r="R138" s="211">
        <f t="shared" si="40"/>
        <v>2040</v>
      </c>
      <c r="S138" s="211">
        <f t="shared" si="40"/>
        <v>2041</v>
      </c>
      <c r="T138" s="211">
        <f t="shared" si="40"/>
        <v>2042</v>
      </c>
      <c r="U138" s="211">
        <f t="shared" si="40"/>
        <v>2043</v>
      </c>
      <c r="V138" s="211">
        <f t="shared" si="40"/>
        <v>2044</v>
      </c>
      <c r="W138" s="211">
        <f t="shared" si="40"/>
        <v>2045</v>
      </c>
      <c r="X138" s="211">
        <f t="shared" si="40"/>
        <v>2046</v>
      </c>
      <c r="Y138" s="211">
        <f t="shared" si="40"/>
        <v>2047</v>
      </c>
      <c r="Z138" s="211">
        <f t="shared" si="40"/>
        <v>2048</v>
      </c>
      <c r="AA138" s="211">
        <f t="shared" si="40"/>
        <v>2049</v>
      </c>
      <c r="AB138" s="211">
        <f t="shared" si="40"/>
        <v>2050</v>
      </c>
      <c r="AC138" s="211">
        <f t="shared" si="40"/>
        <v>2051</v>
      </c>
      <c r="AD138" s="211">
        <f t="shared" si="40"/>
        <v>2052</v>
      </c>
      <c r="AE138" s="211">
        <f t="shared" si="40"/>
        <v>2053</v>
      </c>
      <c r="AF138" s="211">
        <f t="shared" si="40"/>
        <v>2054</v>
      </c>
      <c r="AG138" s="211">
        <f t="shared" si="40"/>
        <v>2055</v>
      </c>
      <c r="AH138" s="211">
        <f t="shared" si="40"/>
        <v>2056</v>
      </c>
      <c r="AI138" s="211">
        <f t="shared" si="40"/>
        <v>2057</v>
      </c>
      <c r="AJ138" s="211">
        <f t="shared" si="40"/>
        <v>2058</v>
      </c>
      <c r="AK138" s="211">
        <f t="shared" si="40"/>
        <v>2059</v>
      </c>
      <c r="AL138" s="211">
        <f t="shared" si="40"/>
        <v>2060</v>
      </c>
      <c r="AM138" s="211">
        <f t="shared" si="40"/>
        <v>2061</v>
      </c>
      <c r="AN138" s="211">
        <f t="shared" si="40"/>
        <v>2062</v>
      </c>
      <c r="AO138" s="211">
        <f t="shared" si="40"/>
        <v>2063</v>
      </c>
      <c r="AP138" s="211">
        <f t="shared" si="40"/>
        <v>2064</v>
      </c>
      <c r="AQ138" s="211">
        <f t="shared" si="40"/>
        <v>2065</v>
      </c>
      <c r="AR138" s="211">
        <f t="shared" si="40"/>
        <v>2066</v>
      </c>
      <c r="AS138" s="211">
        <f t="shared" si="40"/>
        <v>2067</v>
      </c>
      <c r="AT138" s="211">
        <f t="shared" si="40"/>
        <v>2068</v>
      </c>
      <c r="AU138" s="211">
        <f t="shared" si="40"/>
        <v>2069</v>
      </c>
      <c r="AV138" s="211">
        <f t="shared" si="40"/>
        <v>2070</v>
      </c>
      <c r="AW138" s="211">
        <f t="shared" si="40"/>
        <v>2071</v>
      </c>
      <c r="AX138" s="211">
        <f t="shared" si="40"/>
        <v>2072</v>
      </c>
      <c r="AY138" s="211">
        <f t="shared" si="40"/>
        <v>2073</v>
      </c>
    </row>
    <row r="139" spans="1:51" ht="12.75" hidden="1" x14ac:dyDescent="0.2">
      <c r="A139" s="196" t="s">
        <v>346</v>
      </c>
      <c r="B139" s="212">
        <v>9.1135032622053413E-2</v>
      </c>
      <c r="C139" s="212">
        <v>7.8163170639641913E-2</v>
      </c>
      <c r="D139" s="212">
        <v>5.2628968689616612E-2</v>
      </c>
      <c r="E139" s="212">
        <v>4.4208979893394937E-2</v>
      </c>
      <c r="F139" s="213">
        <f>E139</f>
        <v>4.4208979893394937E-2</v>
      </c>
      <c r="G139" s="213">
        <f>F139</f>
        <v>4.4208979893394937E-2</v>
      </c>
      <c r="H139" s="213">
        <f>G139</f>
        <v>4.4208979893394937E-2</v>
      </c>
      <c r="I139" s="213">
        <f>H139</f>
        <v>4.4208979893394937E-2</v>
      </c>
      <c r="J139" s="213">
        <f t="shared" ref="J139:AY139" si="41">I139</f>
        <v>4.4208979893394937E-2</v>
      </c>
      <c r="K139" s="213">
        <f t="shared" si="41"/>
        <v>4.4208979893394937E-2</v>
      </c>
      <c r="L139" s="213">
        <f t="shared" si="41"/>
        <v>4.4208979893394937E-2</v>
      </c>
      <c r="M139" s="213">
        <f t="shared" si="41"/>
        <v>4.4208979893394937E-2</v>
      </c>
      <c r="N139" s="213">
        <f t="shared" si="41"/>
        <v>4.4208979893394937E-2</v>
      </c>
      <c r="O139" s="213">
        <f t="shared" si="41"/>
        <v>4.4208979893394937E-2</v>
      </c>
      <c r="P139" s="213">
        <f t="shared" si="41"/>
        <v>4.4208979893394937E-2</v>
      </c>
      <c r="Q139" s="213">
        <f t="shared" si="41"/>
        <v>4.4208979893394937E-2</v>
      </c>
      <c r="R139" s="213">
        <f t="shared" si="41"/>
        <v>4.4208979893394937E-2</v>
      </c>
      <c r="S139" s="213">
        <f t="shared" si="41"/>
        <v>4.4208979893394937E-2</v>
      </c>
      <c r="T139" s="213">
        <f t="shared" si="41"/>
        <v>4.4208979893394937E-2</v>
      </c>
      <c r="U139" s="213">
        <f t="shared" si="41"/>
        <v>4.4208979893394937E-2</v>
      </c>
      <c r="V139" s="213">
        <f t="shared" si="41"/>
        <v>4.4208979893394937E-2</v>
      </c>
      <c r="W139" s="213">
        <f t="shared" si="41"/>
        <v>4.4208979893394937E-2</v>
      </c>
      <c r="X139" s="213">
        <f t="shared" si="41"/>
        <v>4.4208979893394937E-2</v>
      </c>
      <c r="Y139" s="213">
        <f t="shared" si="41"/>
        <v>4.4208979893394937E-2</v>
      </c>
      <c r="Z139" s="213">
        <f t="shared" si="41"/>
        <v>4.4208979893394937E-2</v>
      </c>
      <c r="AA139" s="213">
        <f t="shared" si="41"/>
        <v>4.4208979893394937E-2</v>
      </c>
      <c r="AB139" s="213">
        <f t="shared" si="41"/>
        <v>4.4208979893394937E-2</v>
      </c>
      <c r="AC139" s="213">
        <f t="shared" si="41"/>
        <v>4.4208979893394937E-2</v>
      </c>
      <c r="AD139" s="213">
        <f t="shared" si="41"/>
        <v>4.4208979893394937E-2</v>
      </c>
      <c r="AE139" s="213">
        <f t="shared" si="41"/>
        <v>4.4208979893394937E-2</v>
      </c>
      <c r="AF139" s="213">
        <f t="shared" si="41"/>
        <v>4.4208979893394937E-2</v>
      </c>
      <c r="AG139" s="213">
        <f t="shared" si="41"/>
        <v>4.4208979893394937E-2</v>
      </c>
      <c r="AH139" s="213">
        <f t="shared" si="41"/>
        <v>4.4208979893394937E-2</v>
      </c>
      <c r="AI139" s="213">
        <f t="shared" si="41"/>
        <v>4.4208979893394937E-2</v>
      </c>
      <c r="AJ139" s="213">
        <f t="shared" si="41"/>
        <v>4.4208979893394937E-2</v>
      </c>
      <c r="AK139" s="213">
        <f t="shared" si="41"/>
        <v>4.4208979893394937E-2</v>
      </c>
      <c r="AL139" s="213">
        <f t="shared" si="41"/>
        <v>4.4208979893394937E-2</v>
      </c>
      <c r="AM139" s="213">
        <f t="shared" si="41"/>
        <v>4.4208979893394937E-2</v>
      </c>
      <c r="AN139" s="213">
        <f t="shared" si="41"/>
        <v>4.4208979893394937E-2</v>
      </c>
      <c r="AO139" s="213">
        <f t="shared" si="41"/>
        <v>4.4208979893394937E-2</v>
      </c>
      <c r="AP139" s="213">
        <f t="shared" si="41"/>
        <v>4.4208979893394937E-2</v>
      </c>
      <c r="AQ139" s="213">
        <f t="shared" si="41"/>
        <v>4.4208979893394937E-2</v>
      </c>
      <c r="AR139" s="213">
        <f t="shared" si="41"/>
        <v>4.4208979893394937E-2</v>
      </c>
      <c r="AS139" s="213">
        <f t="shared" si="41"/>
        <v>4.4208979893394937E-2</v>
      </c>
      <c r="AT139" s="213">
        <f t="shared" si="41"/>
        <v>4.4208979893394937E-2</v>
      </c>
      <c r="AU139" s="213">
        <f t="shared" si="41"/>
        <v>4.4208979893394937E-2</v>
      </c>
      <c r="AV139" s="213">
        <f t="shared" si="41"/>
        <v>4.4208979893394937E-2</v>
      </c>
      <c r="AW139" s="213">
        <f t="shared" si="41"/>
        <v>4.4208979893394937E-2</v>
      </c>
      <c r="AX139" s="213">
        <f t="shared" si="41"/>
        <v>4.4208979893394937E-2</v>
      </c>
      <c r="AY139" s="213">
        <f t="shared" si="41"/>
        <v>4.4208979893394937E-2</v>
      </c>
    </row>
    <row r="140" spans="1:51" ht="15" hidden="1" x14ac:dyDescent="0.2">
      <c r="A140" s="196" t="s">
        <v>347</v>
      </c>
      <c r="B140" s="212">
        <f>B139</f>
        <v>9.1135032622053413E-2</v>
      </c>
      <c r="C140" s="212">
        <v>7.8163170639641913E-2</v>
      </c>
      <c r="D140" s="128">
        <f t="shared" ref="D140:AY140" si="42">(1+C140)*(1+D139)-1</f>
        <v>0.13490578638953354</v>
      </c>
      <c r="E140" s="128">
        <f t="shared" si="42"/>
        <v>0.18507881348092603</v>
      </c>
      <c r="F140" s="128">
        <f t="shared" si="42"/>
        <v>0.23746993891819246</v>
      </c>
      <c r="G140" s="128">
        <f t="shared" si="42"/>
        <v>0.29217722256650736</v>
      </c>
      <c r="H140" s="128">
        <f t="shared" si="42"/>
        <v>0.34930305941765294</v>
      </c>
      <c r="I140" s="128">
        <f t="shared" si="42"/>
        <v>0.40895437124154421</v>
      </c>
      <c r="J140" s="128">
        <f t="shared" si="42"/>
        <v>0.47124280671047258</v>
      </c>
      <c r="K140" s="128">
        <f t="shared" si="42"/>
        <v>0.53628495037063773</v>
      </c>
      <c r="L140" s="128">
        <f t="shared" si="42"/>
        <v>0.60420254085209835</v>
      </c>
      <c r="M140" s="128">
        <f t="shared" si="42"/>
        <v>0.67512269872556185</v>
      </c>
      <c r="N140" s="128">
        <f t="shared" si="42"/>
        <v>0.74917816443248952</v>
      </c>
      <c r="O140" s="128">
        <f t="shared" si="42"/>
        <v>0.82650754673385074</v>
      </c>
      <c r="P140" s="128">
        <f t="shared" si="42"/>
        <v>0.90725558214254165</v>
      </c>
      <c r="Q140" s="128">
        <f t="shared" si="42"/>
        <v>0.99157340582504649</v>
      </c>
      <c r="R140" s="128">
        <f t="shared" si="42"/>
        <v>1.079618834479386</v>
      </c>
      <c r="S140" s="128">
        <f t="shared" si="42"/>
        <v>1.1715566617188107</v>
      </c>
      <c r="T140" s="128">
        <f t="shared" si="42"/>
        <v>1.2675589665141054</v>
      </c>
      <c r="U140" s="128">
        <f t="shared" si="42"/>
        <v>1.3678054352718148</v>
      </c>
      <c r="V140" s="128">
        <f t="shared" si="42"/>
        <v>1.4724836981512177</v>
      </c>
      <c r="W140" s="128">
        <f t="shared" si="42"/>
        <v>1.5817896802495315</v>
      </c>
      <c r="X140" s="128">
        <f t="shared" si="42"/>
        <v>1.6959279683126574</v>
      </c>
      <c r="Y140" s="128">
        <f t="shared" si="42"/>
        <v>1.8151121936578325</v>
      </c>
      <c r="Z140" s="128">
        <f t="shared" si="42"/>
        <v>1.9395654320249025</v>
      </c>
      <c r="AA140" s="128">
        <f t="shared" si="42"/>
        <v>2.0695206211046102</v>
      </c>
      <c r="AB140" s="128">
        <f t="shared" si="42"/>
        <v>2.2052209965253851</v>
      </c>
      <c r="AC140" s="128">
        <f t="shared" si="42"/>
        <v>2.3469205471146628</v>
      </c>
      <c r="AD140" s="128">
        <f t="shared" si="42"/>
        <v>2.4948844902868452</v>
      </c>
      <c r="AE140" s="128">
        <f t="shared" si="42"/>
        <v>2.6493897684476742</v>
      </c>
      <c r="AF140" s="128">
        <f t="shared" si="42"/>
        <v>2.8107255673441385</v>
      </c>
      <c r="AG140" s="128">
        <f t="shared" si="42"/>
        <v>2.9791938573301016</v>
      </c>
      <c r="AH140" s="128">
        <f t="shared" si="42"/>
        <v>3.1551099585607281</v>
      </c>
      <c r="AI140" s="128">
        <f t="shared" si="42"/>
        <v>3.3388031311735844</v>
      </c>
      <c r="AJ140" s="128">
        <f t="shared" si="42"/>
        <v>3.5306171915610358</v>
      </c>
      <c r="AK140" s="128">
        <f t="shared" si="42"/>
        <v>3.7309111558874273</v>
      </c>
      <c r="AL140" s="128">
        <f t="shared" si="42"/>
        <v>3.9400599120554922</v>
      </c>
      <c r="AM140" s="128">
        <f t="shared" si="42"/>
        <v>4.1584549213797199</v>
      </c>
      <c r="AN140" s="128">
        <f t="shared" si="42"/>
        <v>4.3865049512799796</v>
      </c>
      <c r="AO140" s="128">
        <f t="shared" si="42"/>
        <v>4.6246368403667883</v>
      </c>
      <c r="AP140" s="128">
        <f t="shared" si="42"/>
        <v>4.8732962973502119</v>
      </c>
      <c r="AQ140" s="128">
        <f t="shared" si="42"/>
        <v>5.1329487352677177</v>
      </c>
      <c r="AR140" s="128">
        <f t="shared" si="42"/>
        <v>5.4040801425923899</v>
      </c>
      <c r="AS140" s="128">
        <f t="shared" si="42"/>
        <v>5.6871979928519467</v>
      </c>
      <c r="AT140" s="128">
        <f t="shared" si="42"/>
        <v>5.9828321944610892</v>
      </c>
      <c r="AU140" s="128">
        <f t="shared" si="42"/>
        <v>6.2915360825449698</v>
      </c>
      <c r="AV140" s="128">
        <f t="shared" si="42"/>
        <v>6.6138874546101638</v>
      </c>
      <c r="AW140" s="128">
        <f>(1+AV140)*(1+AW139)-1</f>
        <v>6.950489652001596</v>
      </c>
      <c r="AX140" s="128">
        <f t="shared" si="42"/>
        <v>7.3019726891695793</v>
      </c>
      <c r="AY140" s="128">
        <f t="shared" si="42"/>
        <v>7.6689944328605915</v>
      </c>
    </row>
    <row r="141" spans="1:51" hidden="1" x14ac:dyDescent="0.2">
      <c r="B141" s="214"/>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R141" s="88"/>
      <c r="AS141" s="88"/>
    </row>
    <row r="142" spans="1:51" ht="12.75" hidden="1" x14ac:dyDescent="0.2">
      <c r="A142" s="195"/>
      <c r="B142" s="211">
        <v>2024</v>
      </c>
      <c r="C142" s="211">
        <f t="shared" ref="C142:C143" si="43">B142+1</f>
        <v>2025</v>
      </c>
      <c r="D142" s="211">
        <f t="shared" ref="D142:AY143" si="44">C142+1</f>
        <v>2026</v>
      </c>
      <c r="E142" s="211">
        <f t="shared" si="44"/>
        <v>2027</v>
      </c>
      <c r="F142" s="211">
        <f t="shared" si="44"/>
        <v>2028</v>
      </c>
      <c r="G142" s="211">
        <f t="shared" si="44"/>
        <v>2029</v>
      </c>
      <c r="H142" s="211">
        <f t="shared" si="44"/>
        <v>2030</v>
      </c>
      <c r="I142" s="211">
        <f t="shared" si="44"/>
        <v>2031</v>
      </c>
      <c r="J142" s="211">
        <f t="shared" si="44"/>
        <v>2032</v>
      </c>
      <c r="K142" s="211">
        <f t="shared" si="44"/>
        <v>2033</v>
      </c>
      <c r="L142" s="211">
        <f t="shared" si="44"/>
        <v>2034</v>
      </c>
      <c r="M142" s="211">
        <f t="shared" si="44"/>
        <v>2035</v>
      </c>
      <c r="N142" s="211">
        <f t="shared" si="44"/>
        <v>2036</v>
      </c>
      <c r="O142" s="211">
        <f t="shared" si="44"/>
        <v>2037</v>
      </c>
      <c r="P142" s="211">
        <f t="shared" si="44"/>
        <v>2038</v>
      </c>
      <c r="Q142" s="211">
        <f t="shared" si="44"/>
        <v>2039</v>
      </c>
      <c r="R142" s="211">
        <f t="shared" si="44"/>
        <v>2040</v>
      </c>
      <c r="S142" s="211">
        <f t="shared" si="44"/>
        <v>2041</v>
      </c>
      <c r="T142" s="211">
        <f t="shared" si="44"/>
        <v>2042</v>
      </c>
      <c r="U142" s="211">
        <f t="shared" si="44"/>
        <v>2043</v>
      </c>
      <c r="V142" s="211">
        <f t="shared" si="44"/>
        <v>2044</v>
      </c>
      <c r="W142" s="211">
        <f t="shared" si="44"/>
        <v>2045</v>
      </c>
      <c r="X142" s="211">
        <f t="shared" si="44"/>
        <v>2046</v>
      </c>
      <c r="Y142" s="211">
        <f t="shared" si="44"/>
        <v>2047</v>
      </c>
      <c r="Z142" s="211">
        <f t="shared" si="44"/>
        <v>2048</v>
      </c>
      <c r="AA142" s="211">
        <f t="shared" si="44"/>
        <v>2049</v>
      </c>
      <c r="AB142" s="211">
        <f t="shared" si="44"/>
        <v>2050</v>
      </c>
      <c r="AC142" s="211">
        <f t="shared" si="44"/>
        <v>2051</v>
      </c>
      <c r="AD142" s="211">
        <f t="shared" si="44"/>
        <v>2052</v>
      </c>
      <c r="AE142" s="211">
        <f t="shared" si="44"/>
        <v>2053</v>
      </c>
      <c r="AF142" s="211">
        <f t="shared" si="44"/>
        <v>2054</v>
      </c>
      <c r="AG142" s="211">
        <f t="shared" si="44"/>
        <v>2055</v>
      </c>
      <c r="AH142" s="211">
        <f t="shared" si="44"/>
        <v>2056</v>
      </c>
      <c r="AI142" s="211">
        <f t="shared" si="44"/>
        <v>2057</v>
      </c>
      <c r="AJ142" s="211">
        <f t="shared" si="44"/>
        <v>2058</v>
      </c>
      <c r="AK142" s="211">
        <f t="shared" si="44"/>
        <v>2059</v>
      </c>
      <c r="AL142" s="211">
        <f t="shared" si="44"/>
        <v>2060</v>
      </c>
      <c r="AM142" s="211">
        <f t="shared" si="44"/>
        <v>2061</v>
      </c>
      <c r="AN142" s="211">
        <f t="shared" si="44"/>
        <v>2062</v>
      </c>
      <c r="AO142" s="211">
        <f t="shared" si="44"/>
        <v>2063</v>
      </c>
      <c r="AP142" s="211">
        <f t="shared" si="44"/>
        <v>2064</v>
      </c>
      <c r="AQ142" s="211">
        <f t="shared" si="44"/>
        <v>2065</v>
      </c>
      <c r="AR142" s="211">
        <f t="shared" si="44"/>
        <v>2066</v>
      </c>
      <c r="AS142" s="211">
        <f t="shared" si="44"/>
        <v>2067</v>
      </c>
      <c r="AT142" s="211">
        <f t="shared" si="44"/>
        <v>2068</v>
      </c>
      <c r="AU142" s="211">
        <f t="shared" si="44"/>
        <v>2069</v>
      </c>
      <c r="AV142" s="211">
        <f t="shared" si="44"/>
        <v>2070</v>
      </c>
      <c r="AW142" s="211">
        <f t="shared" si="44"/>
        <v>2071</v>
      </c>
      <c r="AX142" s="211">
        <f t="shared" si="44"/>
        <v>2072</v>
      </c>
      <c r="AY142" s="211">
        <f t="shared" si="44"/>
        <v>2073</v>
      </c>
    </row>
    <row r="143" spans="1:51" hidden="1" x14ac:dyDescent="0.2">
      <c r="A143" s="195"/>
      <c r="B143" s="216">
        <v>0</v>
      </c>
      <c r="C143" s="216">
        <f t="shared" si="43"/>
        <v>1</v>
      </c>
      <c r="D143" s="216">
        <f t="shared" si="44"/>
        <v>2</v>
      </c>
      <c r="E143" s="216">
        <f>D143+1</f>
        <v>3</v>
      </c>
      <c r="F143" s="216">
        <f t="shared" si="44"/>
        <v>4</v>
      </c>
      <c r="G143" s="216">
        <f t="shared" si="44"/>
        <v>5</v>
      </c>
      <c r="H143" s="216">
        <f t="shared" si="44"/>
        <v>6</v>
      </c>
      <c r="I143" s="216">
        <f t="shared" si="44"/>
        <v>7</v>
      </c>
      <c r="J143" s="216">
        <f t="shared" si="44"/>
        <v>8</v>
      </c>
      <c r="K143" s="216">
        <f t="shared" si="44"/>
        <v>9</v>
      </c>
      <c r="L143" s="216">
        <f t="shared" si="44"/>
        <v>10</v>
      </c>
      <c r="M143" s="216">
        <f t="shared" si="44"/>
        <v>11</v>
      </c>
      <c r="N143" s="216">
        <f t="shared" si="44"/>
        <v>12</v>
      </c>
      <c r="O143" s="216">
        <f t="shared" si="44"/>
        <v>13</v>
      </c>
      <c r="P143" s="216">
        <f t="shared" si="44"/>
        <v>14</v>
      </c>
      <c r="Q143" s="216">
        <f t="shared" si="44"/>
        <v>15</v>
      </c>
      <c r="R143" s="216">
        <f t="shared" si="44"/>
        <v>16</v>
      </c>
      <c r="S143" s="216">
        <f t="shared" si="44"/>
        <v>17</v>
      </c>
      <c r="T143" s="216">
        <f t="shared" si="44"/>
        <v>18</v>
      </c>
      <c r="U143" s="216">
        <f t="shared" si="44"/>
        <v>19</v>
      </c>
      <c r="V143" s="216">
        <f t="shared" si="44"/>
        <v>20</v>
      </c>
      <c r="W143" s="216">
        <f t="shared" si="44"/>
        <v>21</v>
      </c>
      <c r="X143" s="216">
        <f t="shared" si="44"/>
        <v>22</v>
      </c>
      <c r="Y143" s="216">
        <f t="shared" si="44"/>
        <v>23</v>
      </c>
      <c r="Z143" s="216">
        <f t="shared" si="44"/>
        <v>24</v>
      </c>
      <c r="AA143" s="216">
        <f t="shared" si="44"/>
        <v>25</v>
      </c>
      <c r="AB143" s="216">
        <f t="shared" si="44"/>
        <v>26</v>
      </c>
      <c r="AC143" s="216">
        <f t="shared" si="44"/>
        <v>27</v>
      </c>
      <c r="AD143" s="216">
        <f t="shared" si="44"/>
        <v>28</v>
      </c>
      <c r="AE143" s="216">
        <f t="shared" si="44"/>
        <v>29</v>
      </c>
      <c r="AF143" s="216">
        <f t="shared" si="44"/>
        <v>30</v>
      </c>
      <c r="AG143" s="216">
        <f t="shared" si="44"/>
        <v>31</v>
      </c>
      <c r="AH143" s="216">
        <f t="shared" si="44"/>
        <v>32</v>
      </c>
      <c r="AI143" s="216">
        <f t="shared" si="44"/>
        <v>33</v>
      </c>
      <c r="AJ143" s="216">
        <f t="shared" si="44"/>
        <v>34</v>
      </c>
      <c r="AK143" s="216">
        <f t="shared" si="44"/>
        <v>35</v>
      </c>
      <c r="AL143" s="216">
        <f t="shared" si="44"/>
        <v>36</v>
      </c>
      <c r="AM143" s="216">
        <f t="shared" si="44"/>
        <v>37</v>
      </c>
      <c r="AN143" s="216">
        <f t="shared" si="44"/>
        <v>38</v>
      </c>
      <c r="AO143" s="216">
        <f t="shared" si="44"/>
        <v>39</v>
      </c>
      <c r="AP143" s="216">
        <f>AO143+1</f>
        <v>40</v>
      </c>
      <c r="AQ143" s="216">
        <f t="shared" si="44"/>
        <v>41</v>
      </c>
      <c r="AR143" s="216">
        <f t="shared" si="44"/>
        <v>42</v>
      </c>
      <c r="AS143" s="216">
        <f t="shared" si="44"/>
        <v>43</v>
      </c>
      <c r="AT143" s="216">
        <f t="shared" si="44"/>
        <v>44</v>
      </c>
      <c r="AU143" s="216">
        <f t="shared" si="44"/>
        <v>45</v>
      </c>
      <c r="AV143" s="216">
        <f t="shared" si="44"/>
        <v>46</v>
      </c>
      <c r="AW143" s="216">
        <f t="shared" si="44"/>
        <v>47</v>
      </c>
      <c r="AX143" s="216">
        <f t="shared" si="44"/>
        <v>48</v>
      </c>
      <c r="AY143" s="216">
        <f t="shared" si="44"/>
        <v>49</v>
      </c>
    </row>
    <row r="144" spans="1:51" ht="15" hidden="1" x14ac:dyDescent="0.2">
      <c r="A144" s="195"/>
      <c r="B144" s="217">
        <v>0.5</v>
      </c>
      <c r="C144" s="217">
        <f>AVERAGE(B143:C143)</f>
        <v>0.5</v>
      </c>
      <c r="D144" s="217">
        <f>AVERAGE(C143:D143)</f>
        <v>1.5</v>
      </c>
      <c r="E144" s="217">
        <f>AVERAGE(D143:E143)</f>
        <v>2.5</v>
      </c>
      <c r="F144" s="217">
        <f t="shared" ref="F144:AO144" si="45">AVERAGE(E143:F143)</f>
        <v>3.5</v>
      </c>
      <c r="G144" s="217">
        <f t="shared" si="45"/>
        <v>4.5</v>
      </c>
      <c r="H144" s="217">
        <f t="shared" si="45"/>
        <v>5.5</v>
      </c>
      <c r="I144" s="217">
        <f t="shared" si="45"/>
        <v>6.5</v>
      </c>
      <c r="J144" s="217">
        <f t="shared" si="45"/>
        <v>7.5</v>
      </c>
      <c r="K144" s="217">
        <f t="shared" si="45"/>
        <v>8.5</v>
      </c>
      <c r="L144" s="217">
        <f t="shared" si="45"/>
        <v>9.5</v>
      </c>
      <c r="M144" s="217">
        <f t="shared" si="45"/>
        <v>10.5</v>
      </c>
      <c r="N144" s="217">
        <f t="shared" si="45"/>
        <v>11.5</v>
      </c>
      <c r="O144" s="217">
        <f t="shared" si="45"/>
        <v>12.5</v>
      </c>
      <c r="P144" s="217">
        <f t="shared" si="45"/>
        <v>13.5</v>
      </c>
      <c r="Q144" s="217">
        <f t="shared" si="45"/>
        <v>14.5</v>
      </c>
      <c r="R144" s="217">
        <f t="shared" si="45"/>
        <v>15.5</v>
      </c>
      <c r="S144" s="217">
        <f t="shared" si="45"/>
        <v>16.5</v>
      </c>
      <c r="T144" s="217">
        <f t="shared" si="45"/>
        <v>17.5</v>
      </c>
      <c r="U144" s="217">
        <f t="shared" si="45"/>
        <v>18.5</v>
      </c>
      <c r="V144" s="217">
        <f t="shared" si="45"/>
        <v>19.5</v>
      </c>
      <c r="W144" s="217">
        <f t="shared" si="45"/>
        <v>20.5</v>
      </c>
      <c r="X144" s="217">
        <f t="shared" si="45"/>
        <v>21.5</v>
      </c>
      <c r="Y144" s="217">
        <f t="shared" si="45"/>
        <v>22.5</v>
      </c>
      <c r="Z144" s="217">
        <f t="shared" si="45"/>
        <v>23.5</v>
      </c>
      <c r="AA144" s="217">
        <f t="shared" si="45"/>
        <v>24.5</v>
      </c>
      <c r="AB144" s="217">
        <f t="shared" si="45"/>
        <v>25.5</v>
      </c>
      <c r="AC144" s="217">
        <f t="shared" si="45"/>
        <v>26.5</v>
      </c>
      <c r="AD144" s="217">
        <f t="shared" si="45"/>
        <v>27.5</v>
      </c>
      <c r="AE144" s="217">
        <f t="shared" si="45"/>
        <v>28.5</v>
      </c>
      <c r="AF144" s="217">
        <f t="shared" si="45"/>
        <v>29.5</v>
      </c>
      <c r="AG144" s="217">
        <f t="shared" si="45"/>
        <v>30.5</v>
      </c>
      <c r="AH144" s="217">
        <f t="shared" si="45"/>
        <v>31.5</v>
      </c>
      <c r="AI144" s="217">
        <f t="shared" si="45"/>
        <v>32.5</v>
      </c>
      <c r="AJ144" s="217">
        <f t="shared" si="45"/>
        <v>33.5</v>
      </c>
      <c r="AK144" s="217">
        <f t="shared" si="45"/>
        <v>34.5</v>
      </c>
      <c r="AL144" s="217">
        <f t="shared" si="45"/>
        <v>35.5</v>
      </c>
      <c r="AM144" s="217">
        <f t="shared" si="45"/>
        <v>36.5</v>
      </c>
      <c r="AN144" s="217">
        <f t="shared" si="45"/>
        <v>37.5</v>
      </c>
      <c r="AO144" s="217">
        <f t="shared" si="45"/>
        <v>38.5</v>
      </c>
      <c r="AP144" s="217">
        <f>AVERAGE(AO143:AP143)</f>
        <v>39.5</v>
      </c>
      <c r="AQ144" s="217">
        <f t="shared" ref="AQ144:AY144" si="46">AVERAGE(AP143:AQ143)</f>
        <v>40.5</v>
      </c>
      <c r="AR144" s="217">
        <f t="shared" si="46"/>
        <v>41.5</v>
      </c>
      <c r="AS144" s="217">
        <f t="shared" si="46"/>
        <v>42.5</v>
      </c>
      <c r="AT144" s="217">
        <f t="shared" si="46"/>
        <v>43.5</v>
      </c>
      <c r="AU144" s="217">
        <f t="shared" si="46"/>
        <v>44.5</v>
      </c>
      <c r="AV144" s="217">
        <f t="shared" si="46"/>
        <v>45.5</v>
      </c>
      <c r="AW144" s="217">
        <f t="shared" si="46"/>
        <v>46.5</v>
      </c>
      <c r="AX144" s="217">
        <f t="shared" si="46"/>
        <v>47.5</v>
      </c>
      <c r="AY144" s="217">
        <f t="shared" si="46"/>
        <v>48.5</v>
      </c>
    </row>
    <row r="145" spans="1:71" ht="12.75" hidden="1" x14ac:dyDescent="0.2">
      <c r="A145" s="195"/>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R145" s="88"/>
      <c r="AS145" s="88"/>
    </row>
    <row r="146" spans="1:71" ht="12.75" hidden="1" x14ac:dyDescent="0.2">
      <c r="A146" s="195"/>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row>
    <row r="147" spans="1:71" ht="12.75" hidden="1" x14ac:dyDescent="0.2">
      <c r="A147" s="195"/>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row>
    <row r="148" spans="1:71" ht="12.75" hidden="1" x14ac:dyDescent="0.2">
      <c r="A148" s="195"/>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row>
    <row r="149" spans="1:71" ht="12.75" hidden="1" x14ac:dyDescent="0.2">
      <c r="A149" s="195"/>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row>
    <row r="150" spans="1:71" ht="12.75" hidden="1" x14ac:dyDescent="0.2">
      <c r="A150" s="195"/>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row>
    <row r="151" spans="1:71" ht="12.75" hidden="1" x14ac:dyDescent="0.2">
      <c r="A151" s="195"/>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row>
    <row r="152" spans="1:71" ht="12.75" hidden="1" x14ac:dyDescent="0.2">
      <c r="A152" s="195"/>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row>
    <row r="153" spans="1:71" ht="12.75" hidden="1" x14ac:dyDescent="0.2">
      <c r="A153" s="195"/>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row>
    <row r="154" spans="1:71" ht="12.75" hidden="1" x14ac:dyDescent="0.2">
      <c r="A154" s="195"/>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row>
    <row r="155" spans="1:71" ht="12.75" hidden="1" x14ac:dyDescent="0.2">
      <c r="A155" s="195"/>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row>
    <row r="156" spans="1:71" ht="12.75" hidden="1" x14ac:dyDescent="0.2">
      <c r="A156" s="195"/>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row>
    <row r="157" spans="1:71" ht="12.75" hidden="1" x14ac:dyDescent="0.2">
      <c r="A157" s="195"/>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row>
    <row r="158" spans="1:71" ht="12.75" hidden="1" x14ac:dyDescent="0.2">
      <c r="A158" s="195"/>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row>
    <row r="159" spans="1:71" ht="12.75" hidden="1" x14ac:dyDescent="0.2">
      <c r="A159" s="17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row>
    <row r="160" spans="1:71" ht="12.75" hidden="1" x14ac:dyDescent="0.2">
      <c r="A160" s="17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row>
    <row r="161" spans="1:71" ht="12.75" hidden="1" x14ac:dyDescent="0.2">
      <c r="A161" s="17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row>
    <row r="162" spans="1:71" ht="12.75" x14ac:dyDescent="0.2">
      <c r="A162" s="17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row>
    <row r="163" spans="1:71" ht="12.75" x14ac:dyDescent="0.2">
      <c r="A163" s="17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row>
    <row r="164" spans="1:71" ht="12.75" x14ac:dyDescent="0.2">
      <c r="A164" s="178"/>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row>
    <row r="165" spans="1:71" ht="12.75" x14ac:dyDescent="0.2">
      <c r="A165" s="178"/>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row>
    <row r="166" spans="1:71" ht="12.75" x14ac:dyDescent="0.2">
      <c r="A166" s="178"/>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row>
    <row r="167" spans="1:71" ht="12.75" x14ac:dyDescent="0.2">
      <c r="A167" s="178"/>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row>
    <row r="168" spans="1:71" ht="12.75" x14ac:dyDescent="0.2">
      <c r="A168" s="178"/>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row>
    <row r="169" spans="1:71" ht="12.75" x14ac:dyDescent="0.2">
      <c r="A169" s="178"/>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row>
    <row r="170" spans="1:71" ht="12.75" x14ac:dyDescent="0.2">
      <c r="A170" s="178"/>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row>
    <row r="171" spans="1:71" ht="12.75" x14ac:dyDescent="0.2">
      <c r="A171" s="178"/>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row>
    <row r="172" spans="1:71" ht="12.75" x14ac:dyDescent="0.2">
      <c r="A172" s="178"/>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row>
    <row r="173" spans="1:71" ht="12.75" x14ac:dyDescent="0.2">
      <c r="A173" s="178"/>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row>
    <row r="174" spans="1:71" ht="12.75" x14ac:dyDescent="0.2">
      <c r="A174" s="178"/>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row>
    <row r="175" spans="1:71" ht="12.75" x14ac:dyDescent="0.2">
      <c r="A175" s="178"/>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row>
    <row r="176" spans="1:71" ht="12.75" x14ac:dyDescent="0.2">
      <c r="A176" s="178"/>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row>
    <row r="177" spans="1:71" ht="12.75" x14ac:dyDescent="0.2">
      <c r="A177" s="178"/>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row>
    <row r="178" spans="1:71" ht="12.75" x14ac:dyDescent="0.2">
      <c r="A178" s="178"/>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row>
    <row r="179" spans="1:71" ht="12.75" x14ac:dyDescent="0.2">
      <c r="A179" s="178"/>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row>
    <row r="180" spans="1:71" ht="12.75" x14ac:dyDescent="0.2">
      <c r="A180" s="178"/>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row>
    <row r="181" spans="1:71" ht="12.75" x14ac:dyDescent="0.2">
      <c r="A181" s="178"/>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row>
    <row r="182" spans="1:71" ht="12.75" x14ac:dyDescent="0.2">
      <c r="A182" s="178"/>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row>
    <row r="183" spans="1:71" ht="12.75" x14ac:dyDescent="0.2">
      <c r="A183" s="178"/>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row>
    <row r="184" spans="1:71" ht="12.75" x14ac:dyDescent="0.2">
      <c r="A184" s="178"/>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row>
    <row r="185" spans="1:71" ht="12.75" x14ac:dyDescent="0.2">
      <c r="A185" s="178"/>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row>
    <row r="186" spans="1:71" ht="12.75" x14ac:dyDescent="0.2">
      <c r="A186" s="178"/>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row>
    <row r="187" spans="1:71" ht="12.75" x14ac:dyDescent="0.2">
      <c r="A187" s="178"/>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row>
    <row r="188" spans="1:71" ht="12.75" x14ac:dyDescent="0.2">
      <c r="A188" s="17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row>
    <row r="189" spans="1:71" ht="12.75" x14ac:dyDescent="0.2">
      <c r="A189" s="178"/>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row>
    <row r="190" spans="1:71" ht="12.75" x14ac:dyDescent="0.2">
      <c r="A190" s="178"/>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row>
    <row r="191" spans="1:71" ht="12.75" x14ac:dyDescent="0.2">
      <c r="A191" s="178"/>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row>
    <row r="192" spans="1:71" ht="12.75" x14ac:dyDescent="0.2">
      <c r="A192" s="178"/>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row>
    <row r="193" spans="1:71" ht="12.75" x14ac:dyDescent="0.2">
      <c r="A193" s="178"/>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row>
    <row r="194" spans="1:71" ht="12.75" x14ac:dyDescent="0.2">
      <c r="A194" s="178"/>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row>
    <row r="195" spans="1:71" ht="12.75" x14ac:dyDescent="0.2">
      <c r="A195" s="178"/>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row>
    <row r="196" spans="1:71" ht="12.75" x14ac:dyDescent="0.2">
      <c r="A196" s="178"/>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row>
    <row r="197" spans="1:71" ht="12.75" x14ac:dyDescent="0.2">
      <c r="A197" s="178"/>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row>
    <row r="198" spans="1:71" ht="12.75" x14ac:dyDescent="0.2">
      <c r="A198" s="178"/>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row>
    <row r="199" spans="1:71" ht="12.75" x14ac:dyDescent="0.2">
      <c r="A199" s="178"/>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row>
    <row r="200" spans="1:71" ht="12.75" x14ac:dyDescent="0.2">
      <c r="A200" s="178"/>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row>
    <row r="201" spans="1:71" ht="12.75" x14ac:dyDescent="0.2">
      <c r="A201" s="178"/>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row>
    <row r="202" spans="1:71" ht="12.75" x14ac:dyDescent="0.2">
      <c r="A202" s="178"/>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row>
    <row r="203" spans="1:71" ht="12.75" x14ac:dyDescent="0.2">
      <c r="A203" s="178"/>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row>
    <row r="204" spans="1:71" ht="12.75" x14ac:dyDescent="0.2">
      <c r="A204" s="178"/>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row>
    <row r="205" spans="1:71" ht="12.75" x14ac:dyDescent="0.2">
      <c r="A205" s="178"/>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row>
    <row r="206" spans="1:71" ht="12.75" x14ac:dyDescent="0.2">
      <c r="A206" s="178"/>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row>
    <row r="207" spans="1:71" ht="12.75" x14ac:dyDescent="0.2">
      <c r="A207" s="178"/>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row>
    <row r="208" spans="1:71" ht="12.75" x14ac:dyDescent="0.2">
      <c r="A208" s="178"/>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row>
    <row r="209" spans="1:71" ht="12.75" x14ac:dyDescent="0.2">
      <c r="A209" s="178"/>
      <c r="B209" s="174"/>
      <c r="C209" s="174"/>
      <c r="D209" s="174"/>
      <c r="E209" s="174"/>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c r="AD209" s="174"/>
      <c r="AE209" s="174"/>
      <c r="AF209" s="174"/>
      <c r="AG209" s="174"/>
      <c r="AH209" s="174"/>
      <c r="AI209" s="174"/>
      <c r="AJ209" s="174"/>
      <c r="AK209" s="174"/>
      <c r="AL209" s="174"/>
      <c r="AM209" s="174"/>
      <c r="AN209" s="174"/>
      <c r="AO209" s="174"/>
      <c r="AP209" s="174"/>
      <c r="AT209" s="174"/>
      <c r="AU209" s="174"/>
      <c r="AV209" s="174"/>
      <c r="AW209" s="174"/>
      <c r="AX209" s="174"/>
      <c r="AY209" s="174"/>
      <c r="AZ209" s="174"/>
      <c r="BA209" s="174"/>
      <c r="BB209" s="174"/>
      <c r="BC209" s="174"/>
      <c r="BD209" s="174"/>
      <c r="BE209" s="174"/>
      <c r="BF209" s="174"/>
      <c r="BG209" s="174"/>
      <c r="BH209" s="174"/>
      <c r="BI209" s="174"/>
      <c r="BJ209" s="174"/>
      <c r="BK209" s="174"/>
      <c r="BL209" s="174"/>
      <c r="BM209" s="174"/>
      <c r="BN209" s="174"/>
      <c r="BO209" s="174"/>
      <c r="BP209" s="174"/>
      <c r="BQ209" s="174"/>
      <c r="BR209" s="174"/>
      <c r="BS209" s="174"/>
    </row>
    <row r="210" spans="1:71" ht="12.75" x14ac:dyDescent="0.2">
      <c r="A210" s="178"/>
      <c r="B210" s="174"/>
      <c r="C210" s="174"/>
      <c r="D210" s="174"/>
      <c r="E210" s="174"/>
      <c r="F210" s="174"/>
      <c r="G210" s="174"/>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c r="AD210" s="174"/>
      <c r="AE210" s="174"/>
      <c r="AF210" s="174"/>
      <c r="AG210" s="174"/>
      <c r="AH210" s="174"/>
      <c r="AI210" s="174"/>
      <c r="AJ210" s="174"/>
      <c r="AK210" s="174"/>
      <c r="AL210" s="174"/>
      <c r="AM210" s="174"/>
      <c r="AN210" s="174"/>
      <c r="AO210" s="174"/>
      <c r="AP210" s="174"/>
      <c r="AT210" s="174"/>
      <c r="AU210" s="174"/>
      <c r="AV210" s="174"/>
      <c r="AW210" s="174"/>
      <c r="AX210" s="174"/>
      <c r="AY210" s="174"/>
      <c r="AZ210" s="174"/>
      <c r="BA210" s="174"/>
      <c r="BB210" s="174"/>
      <c r="BC210" s="174"/>
      <c r="BD210" s="174"/>
      <c r="BE210" s="174"/>
      <c r="BF210" s="174"/>
      <c r="BG210" s="174"/>
      <c r="BH210" s="174"/>
      <c r="BI210" s="174"/>
      <c r="BJ210" s="174"/>
      <c r="BK210" s="174"/>
      <c r="BL210" s="174"/>
      <c r="BM210" s="174"/>
      <c r="BN210" s="174"/>
      <c r="BO210" s="174"/>
      <c r="BP210" s="174"/>
      <c r="BQ210" s="174"/>
      <c r="BR210" s="174"/>
      <c r="BS210" s="174"/>
    </row>
    <row r="211" spans="1:71" ht="12.75" x14ac:dyDescent="0.2">
      <c r="A211" s="178"/>
      <c r="B211" s="174"/>
      <c r="C211" s="174"/>
      <c r="D211" s="174"/>
      <c r="E211" s="174"/>
      <c r="F211" s="174"/>
      <c r="G211" s="174"/>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c r="AD211" s="174"/>
      <c r="AE211" s="174"/>
      <c r="AF211" s="174"/>
      <c r="AG211" s="174"/>
      <c r="AH211" s="174"/>
      <c r="AI211" s="174"/>
      <c r="AJ211" s="174"/>
      <c r="AK211" s="174"/>
      <c r="AL211" s="174"/>
      <c r="AM211" s="174"/>
      <c r="AN211" s="174"/>
      <c r="AO211" s="174"/>
      <c r="AP211" s="174"/>
      <c r="AT211" s="174"/>
      <c r="AU211" s="174"/>
      <c r="AV211" s="174"/>
      <c r="AW211" s="174"/>
      <c r="AX211" s="174"/>
      <c r="AY211" s="174"/>
      <c r="AZ211" s="174"/>
      <c r="BA211" s="174"/>
      <c r="BB211" s="174"/>
      <c r="BC211" s="174"/>
      <c r="BD211" s="174"/>
      <c r="BE211" s="174"/>
      <c r="BF211" s="174"/>
      <c r="BG211" s="174"/>
      <c r="BH211" s="174"/>
      <c r="BI211" s="174"/>
      <c r="BJ211" s="174"/>
      <c r="BK211" s="174"/>
      <c r="BL211" s="174"/>
      <c r="BM211" s="174"/>
      <c r="BN211" s="174"/>
      <c r="BO211" s="174"/>
      <c r="BP211" s="174"/>
      <c r="BQ211" s="174"/>
      <c r="BR211" s="174"/>
      <c r="BS211" s="174"/>
    </row>
  </sheetData>
  <mergeCells count="20">
    <mergeCell ref="A97:L97"/>
    <mergeCell ref="B118:C118"/>
    <mergeCell ref="D118:E118"/>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 right="0.7" top="0.75" bottom="0.75" header="0.3" footer="0.3"/>
  <pageSetup paperSize="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8" zoomScale="70" workbookViewId="0">
      <selection activeCell="I43" sqref="I43"/>
    </sheetView>
  </sheetViews>
  <sheetFormatPr defaultColWidth="9.140625" defaultRowHeight="15" x14ac:dyDescent="0.25"/>
  <cols>
    <col min="1" max="1" width="9.140625" style="218"/>
    <col min="2" max="2" width="37.7109375" style="218" customWidth="1"/>
    <col min="3" max="4" width="15.7109375" style="219" customWidth="1"/>
    <col min="5" max="6" width="15.7109375" style="218" customWidth="1"/>
    <col min="7" max="8" width="15.7109375" style="218" hidden="1" customWidth="1"/>
    <col min="9" max="10" width="18.28515625" style="218" customWidth="1"/>
    <col min="11" max="11" width="64.85546875" style="218" customWidth="1"/>
    <col min="12" max="12" width="32.28515625" style="218" customWidth="1"/>
    <col min="13" max="16384" width="9.140625" style="218"/>
  </cols>
  <sheetData>
    <row r="1" spans="1:12" ht="18.75" x14ac:dyDescent="0.25">
      <c r="A1" s="220"/>
      <c r="B1" s="220"/>
      <c r="C1" s="220"/>
      <c r="D1" s="220"/>
      <c r="E1" s="220"/>
      <c r="F1" s="220"/>
      <c r="G1" s="220"/>
      <c r="H1" s="220"/>
      <c r="I1" s="220"/>
      <c r="J1" s="220"/>
      <c r="K1" s="220"/>
      <c r="L1" s="4" t="s">
        <v>0</v>
      </c>
    </row>
    <row r="2" spans="1:12" ht="18.75" x14ac:dyDescent="0.3">
      <c r="A2" s="220"/>
      <c r="B2" s="220"/>
      <c r="C2" s="220"/>
      <c r="D2" s="220"/>
      <c r="E2" s="220"/>
      <c r="F2" s="220"/>
      <c r="G2" s="220"/>
      <c r="H2" s="220"/>
      <c r="I2" s="220"/>
      <c r="J2" s="220"/>
      <c r="K2" s="220"/>
      <c r="L2" s="5" t="s">
        <v>1</v>
      </c>
    </row>
    <row r="3" spans="1:12" ht="18.75" x14ac:dyDescent="0.3">
      <c r="A3" s="220"/>
      <c r="B3" s="220"/>
      <c r="C3" s="220"/>
      <c r="D3" s="220"/>
      <c r="E3" s="220"/>
      <c r="F3" s="220"/>
      <c r="G3" s="220"/>
      <c r="H3" s="220"/>
      <c r="I3" s="220"/>
      <c r="J3" s="220"/>
      <c r="K3" s="220"/>
      <c r="L3" s="5" t="s">
        <v>2</v>
      </c>
    </row>
    <row r="4" spans="1:12" ht="18.75" x14ac:dyDescent="0.3">
      <c r="A4" s="220"/>
      <c r="B4" s="220"/>
      <c r="C4" s="220"/>
      <c r="D4" s="220"/>
      <c r="E4" s="220"/>
      <c r="F4" s="220"/>
      <c r="G4" s="220"/>
      <c r="H4" s="220"/>
      <c r="I4" s="220"/>
      <c r="J4" s="220"/>
      <c r="K4" s="5"/>
      <c r="L4" s="220"/>
    </row>
    <row r="5" spans="1:12" ht="15.75" x14ac:dyDescent="0.25">
      <c r="A5" s="334" t="str">
        <f>'1. паспорт местоположение'!A5:C5</f>
        <v>Год раскрытия информации: 2025 год</v>
      </c>
      <c r="B5" s="334"/>
      <c r="C5" s="334"/>
      <c r="D5" s="334"/>
      <c r="E5" s="334"/>
      <c r="F5" s="334"/>
      <c r="G5" s="334"/>
      <c r="H5" s="334"/>
      <c r="I5" s="334"/>
      <c r="J5" s="334"/>
      <c r="K5" s="334"/>
      <c r="L5" s="334"/>
    </row>
    <row r="6" spans="1:12" ht="18.75" x14ac:dyDescent="0.3">
      <c r="A6" s="220"/>
      <c r="B6" s="220"/>
      <c r="C6" s="220"/>
      <c r="D6" s="220"/>
      <c r="E6" s="220"/>
      <c r="F6" s="220"/>
      <c r="G6" s="220"/>
      <c r="H6" s="220"/>
      <c r="I6" s="220"/>
      <c r="J6" s="220"/>
      <c r="K6" s="5"/>
      <c r="L6" s="220"/>
    </row>
    <row r="7" spans="1:12" ht="18.75" x14ac:dyDescent="0.25">
      <c r="A7" s="335" t="s">
        <v>4</v>
      </c>
      <c r="B7" s="335"/>
      <c r="C7" s="335"/>
      <c r="D7" s="335"/>
      <c r="E7" s="335"/>
      <c r="F7" s="335"/>
      <c r="G7" s="335"/>
      <c r="H7" s="335"/>
      <c r="I7" s="335"/>
      <c r="J7" s="335"/>
      <c r="K7" s="335"/>
      <c r="L7" s="335"/>
    </row>
    <row r="8" spans="1:12" ht="18.75" x14ac:dyDescent="0.25">
      <c r="A8" s="335"/>
      <c r="B8" s="335"/>
      <c r="C8" s="335"/>
      <c r="D8" s="335"/>
      <c r="E8" s="335"/>
      <c r="F8" s="335"/>
      <c r="G8" s="335"/>
      <c r="H8" s="335"/>
      <c r="I8" s="335"/>
      <c r="J8" s="335"/>
      <c r="K8" s="335"/>
      <c r="L8" s="335"/>
    </row>
    <row r="9" spans="1:12" x14ac:dyDescent="0.25">
      <c r="A9" s="345" t="str">
        <f>'5. анализ эконом эфф'!A9:H9</f>
        <v>Акционерное общество "Россети Янтарь" ДЗО  ПАО "Россети"</v>
      </c>
      <c r="B9" s="345"/>
      <c r="C9" s="345"/>
      <c r="D9" s="345"/>
      <c r="E9" s="345"/>
      <c r="F9" s="345"/>
      <c r="G9" s="345"/>
      <c r="H9" s="345"/>
      <c r="I9" s="345"/>
      <c r="J9" s="345"/>
      <c r="K9" s="345"/>
      <c r="L9" s="345"/>
    </row>
    <row r="10" spans="1:12" ht="15.75" x14ac:dyDescent="0.25">
      <c r="A10" s="337" t="s">
        <v>6</v>
      </c>
      <c r="B10" s="337"/>
      <c r="C10" s="337"/>
      <c r="D10" s="337"/>
      <c r="E10" s="337"/>
      <c r="F10" s="337"/>
      <c r="G10" s="337"/>
      <c r="H10" s="337"/>
      <c r="I10" s="337"/>
      <c r="J10" s="337"/>
      <c r="K10" s="337"/>
      <c r="L10" s="337"/>
    </row>
    <row r="11" spans="1:12" ht="18.75" x14ac:dyDescent="0.25">
      <c r="A11" s="335"/>
      <c r="B11" s="335"/>
      <c r="C11" s="335"/>
      <c r="D11" s="335"/>
      <c r="E11" s="335"/>
      <c r="F11" s="335"/>
      <c r="G11" s="335"/>
      <c r="H11" s="335"/>
      <c r="I11" s="335"/>
      <c r="J11" s="335"/>
      <c r="K11" s="335"/>
      <c r="L11" s="335"/>
    </row>
    <row r="12" spans="1:12" ht="15.75" x14ac:dyDescent="0.25">
      <c r="A12" s="334" t="str">
        <f>'1. паспорт местоположение'!A12:C12</f>
        <v>N_22-1313</v>
      </c>
      <c r="B12" s="334"/>
      <c r="C12" s="334"/>
      <c r="D12" s="334"/>
      <c r="E12" s="334"/>
      <c r="F12" s="334"/>
      <c r="G12" s="334"/>
      <c r="H12" s="334"/>
      <c r="I12" s="334"/>
      <c r="J12" s="334"/>
      <c r="K12" s="334"/>
      <c r="L12" s="334"/>
    </row>
    <row r="13" spans="1:12" ht="15.75" x14ac:dyDescent="0.25">
      <c r="A13" s="337" t="s">
        <v>8</v>
      </c>
      <c r="B13" s="337"/>
      <c r="C13" s="337"/>
      <c r="D13" s="337"/>
      <c r="E13" s="337"/>
      <c r="F13" s="337"/>
      <c r="G13" s="337"/>
      <c r="H13" s="337"/>
      <c r="I13" s="337"/>
      <c r="J13" s="337"/>
      <c r="K13" s="337"/>
      <c r="L13" s="337"/>
    </row>
    <row r="14" spans="1:12" ht="18.75" x14ac:dyDescent="0.25">
      <c r="A14" s="346"/>
      <c r="B14" s="346"/>
      <c r="C14" s="346"/>
      <c r="D14" s="346"/>
      <c r="E14" s="346"/>
      <c r="F14" s="346"/>
      <c r="G14" s="346"/>
      <c r="H14" s="346"/>
      <c r="I14" s="346"/>
      <c r="J14" s="346"/>
      <c r="K14" s="346"/>
      <c r="L14" s="346"/>
    </row>
    <row r="15" spans="1:12" ht="47.25" customHeight="1" x14ac:dyDescent="0.25">
      <c r="A15" s="355" t="str">
        <f>'1. паспорт местоположение'!A15:C15</f>
        <v>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v>
      </c>
      <c r="B15" s="355"/>
      <c r="C15" s="355"/>
      <c r="D15" s="355"/>
      <c r="E15" s="355"/>
      <c r="F15" s="355"/>
      <c r="G15" s="355"/>
      <c r="H15" s="355"/>
      <c r="I15" s="355"/>
      <c r="J15" s="355"/>
      <c r="K15" s="355"/>
      <c r="L15" s="355"/>
    </row>
    <row r="16" spans="1:12" ht="15.75" x14ac:dyDescent="0.25">
      <c r="A16" s="337" t="s">
        <v>10</v>
      </c>
      <c r="B16" s="337"/>
      <c r="C16" s="337"/>
      <c r="D16" s="337"/>
      <c r="E16" s="337"/>
      <c r="F16" s="337"/>
      <c r="G16" s="337"/>
      <c r="H16" s="337"/>
      <c r="I16" s="337"/>
      <c r="J16" s="337"/>
      <c r="K16" s="337"/>
      <c r="L16" s="337"/>
    </row>
    <row r="17" spans="1:12" ht="15.75" x14ac:dyDescent="0.25">
      <c r="A17" s="220"/>
      <c r="B17" s="220"/>
      <c r="C17" s="220"/>
      <c r="D17" s="220"/>
      <c r="E17" s="220"/>
      <c r="F17" s="220"/>
      <c r="G17" s="220"/>
      <c r="H17" s="220"/>
      <c r="I17" s="220"/>
      <c r="J17" s="220"/>
      <c r="K17" s="220"/>
      <c r="L17" s="221"/>
    </row>
    <row r="18" spans="1:12" ht="15.75" x14ac:dyDescent="0.25">
      <c r="A18" s="220"/>
      <c r="B18" s="220"/>
      <c r="C18" s="220"/>
      <c r="D18" s="220"/>
      <c r="E18" s="220"/>
      <c r="F18" s="220"/>
      <c r="G18" s="220"/>
      <c r="H18" s="220"/>
      <c r="I18" s="220"/>
      <c r="J18" s="220"/>
      <c r="K18" s="222"/>
      <c r="L18" s="220"/>
    </row>
    <row r="19" spans="1:12" ht="15.75" customHeight="1" x14ac:dyDescent="0.25">
      <c r="A19" s="398" t="s">
        <v>348</v>
      </c>
      <c r="B19" s="398"/>
      <c r="C19" s="398"/>
      <c r="D19" s="398"/>
      <c r="E19" s="398"/>
      <c r="F19" s="398"/>
      <c r="G19" s="398"/>
      <c r="H19" s="398"/>
      <c r="I19" s="398"/>
      <c r="J19" s="398"/>
      <c r="K19" s="398"/>
      <c r="L19" s="398"/>
    </row>
    <row r="20" spans="1:12" ht="15.75" x14ac:dyDescent="0.25">
      <c r="A20" s="223"/>
      <c r="F20" s="224"/>
    </row>
    <row r="21" spans="1:12" ht="15" customHeight="1" x14ac:dyDescent="0.25">
      <c r="A21" s="399" t="s">
        <v>349</v>
      </c>
      <c r="B21" s="399" t="s">
        <v>350</v>
      </c>
      <c r="C21" s="400" t="s">
        <v>351</v>
      </c>
      <c r="D21" s="400"/>
      <c r="E21" s="400"/>
      <c r="F21" s="400"/>
      <c r="G21" s="400"/>
      <c r="H21" s="400"/>
      <c r="I21" s="399" t="s">
        <v>352</v>
      </c>
      <c r="J21" s="401" t="s">
        <v>353</v>
      </c>
      <c r="K21" s="399" t="s">
        <v>354</v>
      </c>
      <c r="L21" s="404" t="s">
        <v>355</v>
      </c>
    </row>
    <row r="22" spans="1:12" ht="36.75" customHeight="1" x14ac:dyDescent="0.25">
      <c r="A22" s="399"/>
      <c r="B22" s="399"/>
      <c r="C22" s="403" t="s">
        <v>356</v>
      </c>
      <c r="D22" s="403"/>
      <c r="E22" s="403" t="s">
        <v>357</v>
      </c>
      <c r="F22" s="403"/>
      <c r="G22" s="405" t="s">
        <v>358</v>
      </c>
      <c r="H22" s="406"/>
      <c r="I22" s="399"/>
      <c r="J22" s="402"/>
      <c r="K22" s="399"/>
      <c r="L22" s="404"/>
    </row>
    <row r="23" spans="1:12" ht="31.5" x14ac:dyDescent="0.25">
      <c r="A23" s="399"/>
      <c r="B23" s="399"/>
      <c r="C23" s="227" t="s">
        <v>359</v>
      </c>
      <c r="D23" s="227" t="s">
        <v>360</v>
      </c>
      <c r="E23" s="227" t="s">
        <v>359</v>
      </c>
      <c r="F23" s="227" t="s">
        <v>360</v>
      </c>
      <c r="G23" s="227" t="s">
        <v>359</v>
      </c>
      <c r="H23" s="227" t="s">
        <v>360</v>
      </c>
      <c r="I23" s="399"/>
      <c r="J23" s="403"/>
      <c r="K23" s="399"/>
      <c r="L23" s="404"/>
    </row>
    <row r="24" spans="1:12" ht="15.75" x14ac:dyDescent="0.25">
      <c r="A24" s="225">
        <v>1</v>
      </c>
      <c r="B24" s="225">
        <v>2</v>
      </c>
      <c r="C24" s="227">
        <v>3</v>
      </c>
      <c r="D24" s="227">
        <v>4</v>
      </c>
      <c r="E24" s="227">
        <v>5</v>
      </c>
      <c r="F24" s="227">
        <v>6</v>
      </c>
      <c r="G24" s="227">
        <v>7</v>
      </c>
      <c r="H24" s="227">
        <v>8</v>
      </c>
      <c r="I24" s="227">
        <v>9</v>
      </c>
      <c r="J24" s="227">
        <v>10</v>
      </c>
      <c r="K24" s="227">
        <v>11</v>
      </c>
      <c r="L24" s="227">
        <v>12</v>
      </c>
    </row>
    <row r="25" spans="1:12" ht="31.5" x14ac:dyDescent="0.25">
      <c r="A25" s="227">
        <v>1</v>
      </c>
      <c r="B25" s="228" t="s">
        <v>361</v>
      </c>
      <c r="C25" s="229"/>
      <c r="D25" s="229"/>
      <c r="E25" s="230"/>
      <c r="F25" s="230"/>
      <c r="G25" s="229"/>
      <c r="H25" s="229"/>
      <c r="I25" s="229"/>
      <c r="J25" s="230"/>
      <c r="K25" s="231"/>
      <c r="L25" s="232"/>
    </row>
    <row r="26" spans="1:12" ht="15.75" x14ac:dyDescent="0.25">
      <c r="A26" s="227" t="s">
        <v>362</v>
      </c>
      <c r="B26" s="233" t="s">
        <v>363</v>
      </c>
      <c r="C26" s="234" t="s">
        <v>32</v>
      </c>
      <c r="D26" s="234" t="s">
        <v>32</v>
      </c>
      <c r="E26" s="234" t="s">
        <v>32</v>
      </c>
      <c r="F26" s="234" t="s">
        <v>32</v>
      </c>
      <c r="G26" s="234" t="s">
        <v>32</v>
      </c>
      <c r="H26" s="234" t="s">
        <v>32</v>
      </c>
      <c r="I26" s="229"/>
      <c r="J26" s="230"/>
      <c r="K26" s="231"/>
      <c r="L26" s="231"/>
    </row>
    <row r="27" spans="1:12" ht="31.5" x14ac:dyDescent="0.25">
      <c r="A27" s="227" t="s">
        <v>364</v>
      </c>
      <c r="B27" s="233" t="s">
        <v>365</v>
      </c>
      <c r="C27" s="234" t="s">
        <v>32</v>
      </c>
      <c r="D27" s="234" t="s">
        <v>32</v>
      </c>
      <c r="E27" s="234" t="s">
        <v>32</v>
      </c>
      <c r="F27" s="234" t="s">
        <v>32</v>
      </c>
      <c r="G27" s="234" t="s">
        <v>32</v>
      </c>
      <c r="H27" s="234" t="s">
        <v>32</v>
      </c>
      <c r="I27" s="229"/>
      <c r="J27" s="230"/>
      <c r="K27" s="231"/>
      <c r="L27" s="231"/>
    </row>
    <row r="28" spans="1:12" ht="63" x14ac:dyDescent="0.25">
      <c r="A28" s="227" t="s">
        <v>366</v>
      </c>
      <c r="B28" s="233" t="s">
        <v>367</v>
      </c>
      <c r="C28" s="234" t="s">
        <v>32</v>
      </c>
      <c r="D28" s="234" t="s">
        <v>32</v>
      </c>
      <c r="E28" s="234" t="s">
        <v>32</v>
      </c>
      <c r="F28" s="234" t="s">
        <v>32</v>
      </c>
      <c r="G28" s="234" t="s">
        <v>32</v>
      </c>
      <c r="H28" s="234" t="s">
        <v>32</v>
      </c>
      <c r="I28" s="229"/>
      <c r="J28" s="230"/>
      <c r="K28" s="231"/>
      <c r="L28" s="231"/>
    </row>
    <row r="29" spans="1:12" ht="31.5" x14ac:dyDescent="0.25">
      <c r="A29" s="227" t="s">
        <v>368</v>
      </c>
      <c r="B29" s="233" t="s">
        <v>369</v>
      </c>
      <c r="C29" s="234" t="s">
        <v>32</v>
      </c>
      <c r="D29" s="234" t="s">
        <v>32</v>
      </c>
      <c r="E29" s="234" t="s">
        <v>32</v>
      </c>
      <c r="F29" s="234" t="s">
        <v>32</v>
      </c>
      <c r="G29" s="234" t="s">
        <v>32</v>
      </c>
      <c r="H29" s="234" t="s">
        <v>32</v>
      </c>
      <c r="I29" s="229"/>
      <c r="J29" s="230"/>
      <c r="K29" s="231"/>
      <c r="L29" s="231"/>
    </row>
    <row r="30" spans="1:12" ht="31.5" x14ac:dyDescent="0.25">
      <c r="A30" s="227" t="s">
        <v>370</v>
      </c>
      <c r="B30" s="233" t="s">
        <v>371</v>
      </c>
      <c r="C30" s="234" t="s">
        <v>32</v>
      </c>
      <c r="D30" s="234" t="s">
        <v>32</v>
      </c>
      <c r="E30" s="234" t="s">
        <v>32</v>
      </c>
      <c r="F30" s="234" t="s">
        <v>32</v>
      </c>
      <c r="G30" s="234" t="s">
        <v>32</v>
      </c>
      <c r="H30" s="234" t="s">
        <v>32</v>
      </c>
      <c r="I30" s="229"/>
      <c r="J30" s="230"/>
      <c r="K30" s="231"/>
      <c r="L30" s="231"/>
    </row>
    <row r="31" spans="1:12" ht="31.5" x14ac:dyDescent="0.25">
      <c r="A31" s="227" t="s">
        <v>372</v>
      </c>
      <c r="B31" s="235" t="s">
        <v>373</v>
      </c>
      <c r="C31" s="236">
        <v>45477</v>
      </c>
      <c r="D31" s="236">
        <v>45477</v>
      </c>
      <c r="E31" s="236">
        <v>45477</v>
      </c>
      <c r="F31" s="236">
        <v>45477</v>
      </c>
      <c r="G31" s="236">
        <v>45477</v>
      </c>
      <c r="H31" s="236">
        <v>45477</v>
      </c>
      <c r="I31" s="229">
        <v>100</v>
      </c>
      <c r="J31" s="230"/>
      <c r="K31" s="231"/>
      <c r="L31" s="231"/>
    </row>
    <row r="32" spans="1:12" ht="31.5" x14ac:dyDescent="0.25">
      <c r="A32" s="227" t="s">
        <v>374</v>
      </c>
      <c r="B32" s="235" t="s">
        <v>375</v>
      </c>
      <c r="C32" s="234">
        <v>45568</v>
      </c>
      <c r="D32" s="234">
        <v>45568</v>
      </c>
      <c r="E32" s="234">
        <v>45807</v>
      </c>
      <c r="F32" s="234">
        <v>45807</v>
      </c>
      <c r="G32" s="234"/>
      <c r="H32" s="234"/>
      <c r="I32" s="229">
        <v>100</v>
      </c>
      <c r="J32" s="229"/>
      <c r="K32" s="231"/>
      <c r="L32" s="231"/>
    </row>
    <row r="33" spans="1:12" ht="47.25" x14ac:dyDescent="0.25">
      <c r="A33" s="227" t="s">
        <v>376</v>
      </c>
      <c r="B33" s="235" t="s">
        <v>377</v>
      </c>
      <c r="C33" s="234" t="s">
        <v>32</v>
      </c>
      <c r="D33" s="234" t="s">
        <v>32</v>
      </c>
      <c r="E33" s="234" t="s">
        <v>32</v>
      </c>
      <c r="F33" s="234" t="s">
        <v>32</v>
      </c>
      <c r="G33" s="234" t="s">
        <v>32</v>
      </c>
      <c r="H33" s="234" t="s">
        <v>32</v>
      </c>
      <c r="I33" s="229"/>
      <c r="J33" s="230"/>
      <c r="K33" s="231"/>
      <c r="L33" s="231"/>
    </row>
    <row r="34" spans="1:12" ht="63" x14ac:dyDescent="0.25">
      <c r="A34" s="227" t="s">
        <v>378</v>
      </c>
      <c r="B34" s="235" t="s">
        <v>379</v>
      </c>
      <c r="C34" s="234" t="s">
        <v>32</v>
      </c>
      <c r="D34" s="234" t="s">
        <v>32</v>
      </c>
      <c r="E34" s="234" t="s">
        <v>32</v>
      </c>
      <c r="F34" s="234" t="s">
        <v>32</v>
      </c>
      <c r="G34" s="234" t="s">
        <v>32</v>
      </c>
      <c r="H34" s="234" t="s">
        <v>32</v>
      </c>
      <c r="I34" s="229"/>
      <c r="J34" s="237"/>
      <c r="K34" s="237"/>
      <c r="L34" s="231"/>
    </row>
    <row r="35" spans="1:12" ht="31.5" x14ac:dyDescent="0.25">
      <c r="A35" s="227" t="s">
        <v>380</v>
      </c>
      <c r="B35" s="235" t="s">
        <v>381</v>
      </c>
      <c r="C35" s="234">
        <v>45568</v>
      </c>
      <c r="D35" s="234">
        <v>45595</v>
      </c>
      <c r="E35" s="234">
        <v>45681</v>
      </c>
      <c r="F35" s="234">
        <v>45681</v>
      </c>
      <c r="G35" s="234">
        <v>45568</v>
      </c>
      <c r="H35" s="234">
        <v>45595</v>
      </c>
      <c r="I35" s="229">
        <v>100</v>
      </c>
      <c r="J35" s="229"/>
      <c r="K35" s="237"/>
      <c r="L35" s="231"/>
    </row>
    <row r="36" spans="1:12" ht="31.5" x14ac:dyDescent="0.25">
      <c r="A36" s="227" t="s">
        <v>382</v>
      </c>
      <c r="B36" s="235" t="s">
        <v>383</v>
      </c>
      <c r="C36" s="234" t="s">
        <v>32</v>
      </c>
      <c r="D36" s="234" t="s">
        <v>32</v>
      </c>
      <c r="E36" s="234" t="s">
        <v>32</v>
      </c>
      <c r="F36" s="234" t="s">
        <v>32</v>
      </c>
      <c r="G36" s="234" t="s">
        <v>32</v>
      </c>
      <c r="H36" s="234" t="s">
        <v>32</v>
      </c>
      <c r="I36" s="229"/>
      <c r="J36" s="238"/>
      <c r="K36" s="231"/>
      <c r="L36" s="231"/>
    </row>
    <row r="37" spans="1:12" ht="15.75" x14ac:dyDescent="0.25">
      <c r="A37" s="227" t="s">
        <v>384</v>
      </c>
      <c r="B37" s="235" t="s">
        <v>385</v>
      </c>
      <c r="C37" s="234">
        <v>45568</v>
      </c>
      <c r="D37" s="234">
        <v>45568</v>
      </c>
      <c r="E37" s="234">
        <v>45671</v>
      </c>
      <c r="F37" s="234">
        <v>45671</v>
      </c>
      <c r="G37" s="234">
        <v>45568</v>
      </c>
      <c r="H37" s="234">
        <v>45568</v>
      </c>
      <c r="I37" s="229">
        <v>100</v>
      </c>
      <c r="J37" s="229"/>
      <c r="K37" s="231"/>
      <c r="L37" s="231"/>
    </row>
    <row r="38" spans="1:12" ht="15.75" x14ac:dyDescent="0.25">
      <c r="A38" s="227" t="s">
        <v>386</v>
      </c>
      <c r="B38" s="228" t="s">
        <v>387</v>
      </c>
      <c r="C38" s="229"/>
      <c r="D38" s="231"/>
      <c r="E38" s="229"/>
      <c r="F38" s="231"/>
      <c r="G38" s="229"/>
      <c r="H38" s="231"/>
      <c r="I38" s="238"/>
      <c r="J38" s="231"/>
      <c r="K38" s="231"/>
      <c r="L38" s="231"/>
    </row>
    <row r="39" spans="1:12" ht="78.75" x14ac:dyDescent="0.25">
      <c r="A39" s="227">
        <v>2</v>
      </c>
      <c r="B39" s="235" t="s">
        <v>388</v>
      </c>
      <c r="C39" s="234">
        <v>45658</v>
      </c>
      <c r="D39" s="234">
        <v>45746</v>
      </c>
      <c r="E39" s="234">
        <v>45926</v>
      </c>
      <c r="F39" s="234">
        <v>45926</v>
      </c>
      <c r="G39" s="234">
        <v>45658</v>
      </c>
      <c r="H39" s="234">
        <v>45746</v>
      </c>
      <c r="I39" s="229">
        <v>100</v>
      </c>
      <c r="J39" s="229">
        <v>100</v>
      </c>
      <c r="K39" s="231"/>
      <c r="L39" s="231"/>
    </row>
    <row r="40" spans="1:12" ht="15.75" x14ac:dyDescent="0.25">
      <c r="A40" s="227" t="s">
        <v>389</v>
      </c>
      <c r="B40" s="235" t="s">
        <v>390</v>
      </c>
      <c r="C40" s="234" t="s">
        <v>32</v>
      </c>
      <c r="D40" s="234" t="s">
        <v>32</v>
      </c>
      <c r="E40" s="234">
        <v>45561</v>
      </c>
      <c r="F40" s="234">
        <v>45561</v>
      </c>
      <c r="G40" s="234" t="s">
        <v>32</v>
      </c>
      <c r="H40" s="234" t="s">
        <v>32</v>
      </c>
      <c r="I40" s="229">
        <v>100</v>
      </c>
      <c r="J40" s="231"/>
      <c r="K40" s="231"/>
      <c r="L40" s="231"/>
    </row>
    <row r="41" spans="1:12" ht="47.25" x14ac:dyDescent="0.25">
      <c r="A41" s="227" t="s">
        <v>391</v>
      </c>
      <c r="B41" s="228" t="s">
        <v>392</v>
      </c>
      <c r="C41" s="234"/>
      <c r="D41" s="234"/>
      <c r="E41" s="234"/>
      <c r="F41" s="234"/>
      <c r="G41" s="234"/>
      <c r="H41" s="234"/>
      <c r="I41" s="231"/>
      <c r="J41" s="231"/>
      <c r="K41" s="231"/>
      <c r="L41" s="231"/>
    </row>
    <row r="42" spans="1:12" ht="31.5" x14ac:dyDescent="0.25">
      <c r="A42" s="227">
        <v>3</v>
      </c>
      <c r="B42" s="235" t="s">
        <v>393</v>
      </c>
      <c r="C42" s="234" t="s">
        <v>32</v>
      </c>
      <c r="D42" s="234" t="s">
        <v>32</v>
      </c>
      <c r="E42" s="234" t="s">
        <v>32</v>
      </c>
      <c r="F42" s="234" t="s">
        <v>32</v>
      </c>
      <c r="G42" s="234" t="s">
        <v>32</v>
      </c>
      <c r="H42" s="234" t="s">
        <v>32</v>
      </c>
      <c r="I42" s="231"/>
      <c r="J42" s="231"/>
      <c r="K42" s="231"/>
      <c r="L42" s="231"/>
    </row>
    <row r="43" spans="1:12" ht="15.75" x14ac:dyDescent="0.25">
      <c r="A43" s="227" t="s">
        <v>394</v>
      </c>
      <c r="B43" s="235" t="s">
        <v>395</v>
      </c>
      <c r="C43" s="234" t="s">
        <v>32</v>
      </c>
      <c r="D43" s="234" t="s">
        <v>32</v>
      </c>
      <c r="E43" s="234">
        <v>45768</v>
      </c>
      <c r="F43" s="234">
        <v>45838</v>
      </c>
      <c r="G43" s="234" t="s">
        <v>32</v>
      </c>
      <c r="H43" s="234" t="s">
        <v>32</v>
      </c>
      <c r="I43" s="229"/>
      <c r="J43" s="231"/>
      <c r="K43" s="231"/>
      <c r="L43" s="231"/>
    </row>
    <row r="44" spans="1:12" ht="15.75" x14ac:dyDescent="0.25">
      <c r="A44" s="227" t="s">
        <v>396</v>
      </c>
      <c r="B44" s="235" t="s">
        <v>397</v>
      </c>
      <c r="C44" s="234">
        <v>45748</v>
      </c>
      <c r="D44" s="234">
        <v>45930</v>
      </c>
      <c r="E44" s="231"/>
      <c r="F44" s="231"/>
      <c r="G44" s="234">
        <v>45748</v>
      </c>
      <c r="H44" s="234">
        <v>45930</v>
      </c>
      <c r="I44" s="229"/>
      <c r="J44" s="231"/>
      <c r="K44" s="231"/>
      <c r="L44" s="231"/>
    </row>
    <row r="45" spans="1:12" ht="78.75" x14ac:dyDescent="0.25">
      <c r="A45" s="227" t="s">
        <v>398</v>
      </c>
      <c r="B45" s="235" t="s">
        <v>399</v>
      </c>
      <c r="C45" s="234" t="s">
        <v>32</v>
      </c>
      <c r="D45" s="234" t="s">
        <v>32</v>
      </c>
      <c r="E45" s="231"/>
      <c r="F45" s="231"/>
      <c r="G45" s="234" t="s">
        <v>32</v>
      </c>
      <c r="H45" s="234" t="s">
        <v>32</v>
      </c>
      <c r="I45" s="229"/>
      <c r="J45" s="231"/>
      <c r="K45" s="231"/>
      <c r="L45" s="231"/>
    </row>
    <row r="46" spans="1:12" ht="157.5" x14ac:dyDescent="0.25">
      <c r="A46" s="227" t="s">
        <v>400</v>
      </c>
      <c r="B46" s="235" t="s">
        <v>401</v>
      </c>
      <c r="C46" s="234" t="s">
        <v>32</v>
      </c>
      <c r="D46" s="234" t="s">
        <v>32</v>
      </c>
      <c r="E46" s="231"/>
      <c r="F46" s="231"/>
      <c r="G46" s="234" t="s">
        <v>32</v>
      </c>
      <c r="H46" s="234" t="s">
        <v>32</v>
      </c>
      <c r="I46" s="229"/>
      <c r="J46" s="231"/>
      <c r="K46" s="231"/>
      <c r="L46" s="231"/>
    </row>
    <row r="47" spans="1:12" ht="15.75" x14ac:dyDescent="0.25">
      <c r="A47" s="227" t="s">
        <v>402</v>
      </c>
      <c r="B47" s="235" t="s">
        <v>403</v>
      </c>
      <c r="C47" s="234">
        <v>45931</v>
      </c>
      <c r="D47" s="234">
        <v>46022</v>
      </c>
      <c r="E47" s="231"/>
      <c r="F47" s="231"/>
      <c r="G47" s="234">
        <v>45931</v>
      </c>
      <c r="H47" s="234">
        <v>46022</v>
      </c>
      <c r="I47" s="231"/>
      <c r="J47" s="231"/>
      <c r="K47" s="231"/>
      <c r="L47" s="231"/>
    </row>
    <row r="48" spans="1:12" ht="31.5" x14ac:dyDescent="0.25">
      <c r="A48" s="227" t="s">
        <v>404</v>
      </c>
      <c r="B48" s="228" t="s">
        <v>405</v>
      </c>
      <c r="C48" s="234"/>
      <c r="D48" s="234"/>
      <c r="E48" s="231"/>
      <c r="F48" s="231"/>
      <c r="G48" s="234"/>
      <c r="H48" s="234"/>
      <c r="I48" s="231"/>
      <c r="J48" s="231"/>
      <c r="K48" s="231"/>
      <c r="L48" s="231"/>
    </row>
    <row r="49" spans="1:12" ht="31.5" x14ac:dyDescent="0.25">
      <c r="A49" s="227">
        <v>4</v>
      </c>
      <c r="B49" s="235" t="s">
        <v>406</v>
      </c>
      <c r="C49" s="234">
        <v>45931</v>
      </c>
      <c r="D49" s="234">
        <v>46022</v>
      </c>
      <c r="E49" s="231"/>
      <c r="F49" s="231"/>
      <c r="G49" s="234">
        <v>45931</v>
      </c>
      <c r="H49" s="234">
        <v>46022</v>
      </c>
      <c r="I49" s="231"/>
      <c r="J49" s="231"/>
      <c r="K49" s="231"/>
      <c r="L49" s="231"/>
    </row>
    <row r="50" spans="1:12" ht="78.75" x14ac:dyDescent="0.25">
      <c r="A50" s="227" t="s">
        <v>407</v>
      </c>
      <c r="B50" s="235" t="s">
        <v>408</v>
      </c>
      <c r="C50" s="234">
        <v>45931</v>
      </c>
      <c r="D50" s="234">
        <v>46022</v>
      </c>
      <c r="E50" s="231"/>
      <c r="F50" s="231"/>
      <c r="G50" s="234">
        <v>45931</v>
      </c>
      <c r="H50" s="234">
        <v>46022</v>
      </c>
      <c r="I50" s="229"/>
      <c r="J50" s="231"/>
      <c r="K50" s="231"/>
      <c r="L50" s="231"/>
    </row>
    <row r="51" spans="1:12" ht="63" x14ac:dyDescent="0.25">
      <c r="A51" s="227" t="s">
        <v>409</v>
      </c>
      <c r="B51" s="235" t="s">
        <v>410</v>
      </c>
      <c r="C51" s="234" t="s">
        <v>32</v>
      </c>
      <c r="D51" s="234" t="s">
        <v>32</v>
      </c>
      <c r="E51" s="231"/>
      <c r="F51" s="231"/>
      <c r="G51" s="234" t="s">
        <v>32</v>
      </c>
      <c r="H51" s="234" t="s">
        <v>32</v>
      </c>
      <c r="I51" s="231"/>
      <c r="J51" s="231"/>
      <c r="K51" s="231"/>
      <c r="L51" s="231"/>
    </row>
    <row r="52" spans="1:12" ht="63" x14ac:dyDescent="0.25">
      <c r="A52" s="227" t="s">
        <v>411</v>
      </c>
      <c r="B52" s="235" t="s">
        <v>412</v>
      </c>
      <c r="C52" s="234" t="s">
        <v>32</v>
      </c>
      <c r="D52" s="234" t="s">
        <v>32</v>
      </c>
      <c r="E52" s="231"/>
      <c r="F52" s="231"/>
      <c r="G52" s="234" t="s">
        <v>32</v>
      </c>
      <c r="H52" s="234" t="s">
        <v>32</v>
      </c>
      <c r="I52" s="229"/>
      <c r="J52" s="231"/>
      <c r="K52" s="231"/>
      <c r="L52" s="231"/>
    </row>
    <row r="53" spans="1:12" ht="31.5" x14ac:dyDescent="0.25">
      <c r="A53" s="227" t="s">
        <v>413</v>
      </c>
      <c r="B53" s="239" t="s">
        <v>414</v>
      </c>
      <c r="C53" s="234">
        <v>45931</v>
      </c>
      <c r="D53" s="234">
        <v>46022</v>
      </c>
      <c r="E53" s="231"/>
      <c r="F53" s="231"/>
      <c r="G53" s="234">
        <v>45931</v>
      </c>
      <c r="H53" s="234">
        <v>46022</v>
      </c>
      <c r="I53" s="231"/>
      <c r="J53" s="231"/>
      <c r="K53" s="231"/>
      <c r="L53" s="231"/>
    </row>
    <row r="54" spans="1:12" ht="31.5" x14ac:dyDescent="0.25">
      <c r="A54" s="227" t="s">
        <v>415</v>
      </c>
      <c r="B54" s="235" t="s">
        <v>416</v>
      </c>
      <c r="C54" s="234" t="s">
        <v>32</v>
      </c>
      <c r="D54" s="234" t="s">
        <v>32</v>
      </c>
      <c r="E54" s="231"/>
      <c r="F54" s="231"/>
      <c r="G54" s="234" t="s">
        <v>32</v>
      </c>
      <c r="H54" s="234" t="s">
        <v>32</v>
      </c>
      <c r="I54" s="231"/>
      <c r="J54" s="231"/>
      <c r="K54" s="231"/>
      <c r="L54" s="231"/>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2025-11-10T06:40:14Z</dcterms:modified>
</cp:coreProperties>
</file>